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kim/Stravent Dropbox/AA-LAATU/EDUSTUSTUOTTEET/Lyngson/Tehosimuloinnit/"/>
    </mc:Choice>
  </mc:AlternateContent>
  <xr:revisionPtr revIDLastSave="0" documentId="8_{7AEE0183-EB70-AD49-A818-8FDC7A3DA1CB}" xr6:coauthVersionLast="47" xr6:coauthVersionMax="47" xr10:uidLastSave="{00000000-0000-0000-0000-000000000000}"/>
  <workbookProtection workbookAlgorithmName="SHA-512" workbookHashValue="XzUbfxhv4BOGJWnWzS89kIIHqOtlEUBsXINkAj98CN5DBI1bPP53CroaMGGfK/CCRMpc9GjagkEmLsd7G9dOYw==" workbookSaltValue="/Zv2oU9rQP6t/43qMusK7A==" workbookSpinCount="100000" lockStructure="1"/>
  <bookViews>
    <workbookView xWindow="-100" yWindow="500" windowWidth="23260" windowHeight="12580" xr2:uid="{00000000-000D-0000-FFFF-FFFF00000000}"/>
  </bookViews>
  <sheets>
    <sheet name="Blad1" sheetId="1" r:id="rId1"/>
    <sheet name="Effektfaktor" sheetId="2" state="hidden" r:id="rId2"/>
    <sheet name="Tryckfall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3" l="1"/>
  <c r="B6" i="3"/>
  <c r="G6" i="3" s="1"/>
  <c r="B7" i="3"/>
  <c r="B8" i="3"/>
  <c r="G8" i="3" s="1"/>
  <c r="B5" i="3"/>
  <c r="S8" i="3"/>
  <c r="S6" i="3"/>
  <c r="S5" i="3"/>
  <c r="F6" i="3" l="1"/>
  <c r="F8" i="3"/>
  <c r="F7" i="3"/>
  <c r="G7" i="3"/>
  <c r="F5" i="3"/>
  <c r="G5" i="3"/>
  <c r="D11" i="1"/>
  <c r="B22" i="2" l="1"/>
  <c r="B18" i="2"/>
  <c r="B10" i="2"/>
  <c r="B6" i="2"/>
  <c r="B2" i="2"/>
  <c r="D14" i="2"/>
  <c r="B24" i="2" l="1"/>
  <c r="B25" i="2" s="1"/>
  <c r="B26" i="2" s="1"/>
  <c r="B27" i="2" s="1"/>
  <c r="B28" i="2" s="1"/>
  <c r="B29" i="2" s="1"/>
  <c r="B30" i="2" s="1"/>
  <c r="B8" i="1"/>
  <c r="H13" i="1" l="1"/>
  <c r="H18" i="1"/>
  <c r="H23" i="1"/>
  <c r="L34" i="1"/>
  <c r="L30" i="1"/>
  <c r="L25" i="1" s="1"/>
  <c r="L20" i="1" s="1"/>
  <c r="L15" i="1" s="1"/>
  <c r="H30" i="1" l="1"/>
  <c r="H25" i="1"/>
  <c r="H20" i="1"/>
  <c r="H15" i="1"/>
  <c r="D18" i="1"/>
  <c r="D13" i="1" l="1"/>
  <c r="D20" i="1"/>
  <c r="D28" i="1"/>
  <c r="D23" i="1"/>
  <c r="D36" i="2" l="1"/>
  <c r="E43" i="2" s="1"/>
  <c r="F43" i="2" s="1"/>
  <c r="E36" i="2" s="1"/>
  <c r="G36" i="2"/>
  <c r="H43" i="2" s="1"/>
  <c r="I43" i="2" s="1"/>
  <c r="H36" i="2" s="1"/>
  <c r="H48" i="2" s="1"/>
  <c r="I48" i="2" s="1"/>
  <c r="I36" i="2" s="1"/>
  <c r="H53" i="2" s="1"/>
  <c r="I53" i="2" s="1"/>
  <c r="D15" i="1"/>
  <c r="D30" i="1"/>
  <c r="D25" i="1"/>
  <c r="D37" i="2" l="1"/>
  <c r="E44" i="2" s="1"/>
  <c r="F44" i="2" s="1"/>
  <c r="E37" i="2" s="1"/>
  <c r="G37" i="2"/>
  <c r="H44" i="2" s="1"/>
  <c r="I44" i="2" s="1"/>
  <c r="H37" i="2" s="1"/>
  <c r="H49" i="2" s="1"/>
  <c r="I49" i="2" s="1"/>
  <c r="I37" i="2" s="1"/>
  <c r="H54" i="2" s="1"/>
  <c r="I54" i="2" s="1"/>
  <c r="D35" i="2"/>
  <c r="E42" i="2" s="1"/>
  <c r="F42" i="2" s="1"/>
  <c r="E35" i="2" s="1"/>
  <c r="G35" i="2"/>
  <c r="H42" i="2" s="1"/>
  <c r="I42" i="2" s="1"/>
  <c r="H35" i="2" s="1"/>
  <c r="H47" i="2" s="1"/>
  <c r="I47" i="2" s="1"/>
  <c r="I35" i="2" s="1"/>
  <c r="H52" i="2" s="1"/>
  <c r="I52" i="2" s="1"/>
  <c r="G38" i="2"/>
  <c r="H45" i="2" s="1"/>
  <c r="I45" i="2" s="1"/>
  <c r="H38" i="2" s="1"/>
  <c r="H50" i="2" s="1"/>
  <c r="I50" i="2" s="1"/>
  <c r="I38" i="2" s="1"/>
  <c r="H55" i="2" s="1"/>
  <c r="I55" i="2" s="1"/>
  <c r="D38" i="2"/>
  <c r="E45" i="2" s="1"/>
  <c r="F45" i="2" s="1"/>
  <c r="E38" i="2" s="1"/>
  <c r="E48" i="2"/>
  <c r="F48" i="2" s="1"/>
  <c r="F36" i="2" s="1"/>
  <c r="E50" i="2" l="1"/>
  <c r="F50" i="2" s="1"/>
  <c r="F38" i="2" s="1"/>
  <c r="E49" i="2"/>
  <c r="F49" i="2" s="1"/>
  <c r="F37" i="2" s="1"/>
  <c r="E53" i="2"/>
  <c r="E60" i="2" s="1"/>
  <c r="E67" i="2" s="1"/>
  <c r="E19" i="1" s="1"/>
  <c r="E47" i="2"/>
  <c r="F47" i="2" s="1"/>
  <c r="F35" i="2" s="1"/>
  <c r="E55" i="2" l="1"/>
  <c r="E62" i="2" s="1"/>
  <c r="E69" i="2" s="1"/>
  <c r="E29" i="1" s="1"/>
  <c r="E54" i="2"/>
  <c r="E61" i="2" s="1"/>
  <c r="E68" i="2" s="1"/>
  <c r="E24" i="1" s="1"/>
  <c r="E52" i="2"/>
  <c r="E59" i="2" s="1"/>
  <c r="F53" i="2"/>
  <c r="E66" i="2" l="1"/>
  <c r="E14" i="1" s="1"/>
  <c r="F60" i="2"/>
  <c r="F67" i="2" s="1"/>
  <c r="E21" i="1" s="1"/>
  <c r="C6" i="3" s="1"/>
  <c r="Q6" i="3" s="1"/>
  <c r="F55" i="2"/>
  <c r="F62" i="2" s="1"/>
  <c r="F69" i="2" s="1"/>
  <c r="E31" i="1" s="1"/>
  <c r="C8" i="3" s="1"/>
  <c r="Q8" i="3" s="1"/>
  <c r="F52" i="2"/>
  <c r="F59" i="2" s="1"/>
  <c r="F54" i="2"/>
  <c r="E6" i="3" l="1"/>
  <c r="H6" i="3" s="1"/>
  <c r="R6" i="3" s="1"/>
  <c r="J6" i="3" s="1"/>
  <c r="N6" i="3" s="1"/>
  <c r="U6" i="3" s="1"/>
  <c r="T6" i="3"/>
  <c r="O6" i="3" s="1"/>
  <c r="V6" i="3" s="1"/>
  <c r="T8" i="3"/>
  <c r="O8" i="3" s="1"/>
  <c r="V8" i="3" s="1"/>
  <c r="E8" i="3"/>
  <c r="H8" i="3" s="1"/>
  <c r="R8" i="3" s="1"/>
  <c r="J8" i="3" s="1"/>
  <c r="N8" i="3" s="1"/>
  <c r="U8" i="3" s="1"/>
  <c r="F66" i="2"/>
  <c r="E16" i="1" s="1"/>
  <c r="C5" i="3" s="1"/>
  <c r="Q5" i="3" s="1"/>
  <c r="F61" i="2"/>
  <c r="F68" i="2" s="1"/>
  <c r="E26" i="1" s="1"/>
  <c r="C7" i="3" s="1"/>
  <c r="Q7" i="3" s="1"/>
  <c r="P6" i="3" l="1"/>
  <c r="E22" i="1" s="1"/>
  <c r="E7" i="3"/>
  <c r="H7" i="3" s="1"/>
  <c r="R7" i="3" s="1"/>
  <c r="J7" i="3" s="1"/>
  <c r="N7" i="3" s="1"/>
  <c r="U7" i="3" s="1"/>
  <c r="T7" i="3"/>
  <c r="O7" i="3" s="1"/>
  <c r="V7" i="3" s="1"/>
  <c r="T5" i="3"/>
  <c r="O5" i="3" s="1"/>
  <c r="V5" i="3" s="1"/>
  <c r="E5" i="3"/>
  <c r="H5" i="3" s="1"/>
  <c r="R5" i="3" s="1"/>
  <c r="J5" i="3" s="1"/>
  <c r="N5" i="3" s="1"/>
  <c r="U5" i="3" s="1"/>
  <c r="P8" i="3"/>
  <c r="E32" i="1" s="1"/>
  <c r="P5" i="3" l="1"/>
  <c r="E17" i="1" s="1"/>
  <c r="P7" i="3"/>
  <c r="E27" i="1" s="1"/>
</calcChain>
</file>

<file path=xl/sharedStrings.xml><?xml version="1.0" encoding="utf-8"?>
<sst xmlns="http://schemas.openxmlformats.org/spreadsheetml/2006/main" count="237" uniqueCount="122">
  <si>
    <t>K</t>
  </si>
  <si>
    <t>n</t>
  </si>
  <si>
    <t>P=</t>
  </si>
  <si>
    <t>W/m</t>
  </si>
  <si>
    <t>Casa Plan B600 x L1200</t>
  </si>
  <si>
    <t>Casa Plan B600 x L1800</t>
  </si>
  <si>
    <t>Casa Plan B600 x L2400</t>
  </si>
  <si>
    <t>Casa Plan B600 x L3000</t>
  </si>
  <si>
    <t>W</t>
  </si>
  <si>
    <t>l/s</t>
  </si>
  <si>
    <t>Flöde</t>
  </si>
  <si>
    <t>°C</t>
  </si>
  <si>
    <t>kg</t>
  </si>
  <si>
    <t>l</t>
  </si>
  <si>
    <t>rörlängd</t>
  </si>
  <si>
    <t>dm</t>
  </si>
  <si>
    <t>dm2</t>
  </si>
  <si>
    <t>Area (10x0,8)</t>
  </si>
  <si>
    <t>effektfaktor</t>
  </si>
  <si>
    <t>flöde</t>
  </si>
  <si>
    <t>Uppmätt effekt</t>
  </si>
  <si>
    <t>L1200</t>
  </si>
  <si>
    <t>L1800</t>
  </si>
  <si>
    <t>L2400</t>
  </si>
  <si>
    <t>L3000</t>
  </si>
  <si>
    <t>teoretisk effekt</t>
  </si>
  <si>
    <t>Iterering 1</t>
  </si>
  <si>
    <t>Effekt</t>
  </si>
  <si>
    <t>Iterering 2</t>
  </si>
  <si>
    <t>Iterering 3</t>
  </si>
  <si>
    <t>Effektfaktor AB I1</t>
  </si>
  <si>
    <t>Effektfator AB I2</t>
  </si>
  <si>
    <t>Effektfator AB I3</t>
  </si>
  <si>
    <t>Ekvation AB</t>
  </si>
  <si>
    <t>Baserad på 0,005-0,025</t>
  </si>
  <si>
    <r>
      <t>y = -2 811 774,850987430000000000000000000000x</t>
    </r>
    <r>
      <rPr>
        <vertAlign val="superscript"/>
        <sz val="9"/>
        <color rgb="FF595959"/>
        <rFont val="Calibri"/>
        <family val="2"/>
        <scheme val="minor"/>
      </rPr>
      <t>4</t>
    </r>
    <r>
      <rPr>
        <sz val="9"/>
        <color rgb="FF595959"/>
        <rFont val="Calibri"/>
        <family val="2"/>
        <scheme val="minor"/>
      </rPr>
      <t xml:space="preserve"> + 215 630,733838141000000000000000000000x</t>
    </r>
    <r>
      <rPr>
        <vertAlign val="superscript"/>
        <sz val="9"/>
        <color rgb="FF595959"/>
        <rFont val="Calibri"/>
        <family val="2"/>
        <scheme val="minor"/>
      </rPr>
      <t>3</t>
    </r>
    <r>
      <rPr>
        <sz val="9"/>
        <color rgb="FF595959"/>
        <rFont val="Calibri"/>
        <family val="2"/>
        <scheme val="minor"/>
      </rPr>
      <t xml:space="preserve"> - 6 195,371833806850000000000000000000x</t>
    </r>
    <r>
      <rPr>
        <vertAlign val="superscript"/>
        <sz val="9"/>
        <color rgb="FF595959"/>
        <rFont val="Calibri"/>
        <family val="2"/>
        <scheme val="minor"/>
      </rPr>
      <t>2</t>
    </r>
    <r>
      <rPr>
        <sz val="9"/>
        <color rgb="FF595959"/>
        <rFont val="Calibri"/>
        <family val="2"/>
        <scheme val="minor"/>
      </rPr>
      <t xml:space="preserve"> + 80,493351466106100000000000000000x + 0,600000000000000000000000000000</t>
    </r>
  </si>
  <si>
    <t>R² = 0,999102384466117000000000000000</t>
  </si>
  <si>
    <t>Beräkning i flödesintervallet 0,04-0,025</t>
  </si>
  <si>
    <t>Effektfaktor BC I1</t>
  </si>
  <si>
    <t>Effektfator BC I2</t>
  </si>
  <si>
    <t>Effektfator BC I3</t>
  </si>
  <si>
    <t>Beräkning i flödesintervallet 0,025-0,06</t>
  </si>
  <si>
    <t>Ekvation BC</t>
  </si>
  <si>
    <t xml:space="preserve">Baserad på linjär ökning </t>
  </si>
  <si>
    <t>y=0,89*x+0,9897</t>
  </si>
  <si>
    <t>Korrigerad effekt &amp; flöde baserat på AB alternativt BC</t>
  </si>
  <si>
    <t>Flödeskontroll av intervallet &gt;0,004 och &lt;0,045</t>
  </si>
  <si>
    <t>1.</t>
  </si>
  <si>
    <t>2.</t>
  </si>
  <si>
    <t>3.</t>
  </si>
  <si>
    <t>Extrapolerade data</t>
  </si>
  <si>
    <t>Tryckfall i rör</t>
  </si>
  <si>
    <t>Medeltemp</t>
  </si>
  <si>
    <t xml:space="preserve">Flöde </t>
  </si>
  <si>
    <t>Innerdiameter</t>
  </si>
  <si>
    <t>Hastighet</t>
  </si>
  <si>
    <t>Densitet</t>
  </si>
  <si>
    <t>Kinematisk viskositet</t>
  </si>
  <si>
    <t>Reynolds tal</t>
  </si>
  <si>
    <t>Råhet</t>
  </si>
  <si>
    <t>Friktionsfaktor</t>
  </si>
  <si>
    <t>Längd</t>
  </si>
  <si>
    <t>Stötmotstånd</t>
  </si>
  <si>
    <t>Tryckfall rör</t>
  </si>
  <si>
    <t>Tryckfall stötmotstånd</t>
  </si>
  <si>
    <t>Tryckfall totalt</t>
  </si>
  <si>
    <t>oC</t>
  </si>
  <si>
    <t>mm</t>
  </si>
  <si>
    <t>m/s</t>
  </si>
  <si>
    <t>kg/m3</t>
  </si>
  <si>
    <t>m2/s</t>
  </si>
  <si>
    <t>-</t>
  </si>
  <si>
    <t>m</t>
  </si>
  <si>
    <t>Böj</t>
  </si>
  <si>
    <t>Antal</t>
  </si>
  <si>
    <t>kPa</t>
  </si>
  <si>
    <t>t</t>
  </si>
  <si>
    <t>q</t>
  </si>
  <si>
    <t>D</t>
  </si>
  <si>
    <t>v</t>
  </si>
  <si>
    <t>r</t>
  </si>
  <si>
    <t>u</t>
  </si>
  <si>
    <t>Re</t>
  </si>
  <si>
    <t>e</t>
  </si>
  <si>
    <t>f</t>
  </si>
  <si>
    <t>L</t>
  </si>
  <si>
    <t>x</t>
  </si>
  <si>
    <t>st</t>
  </si>
  <si>
    <t>dprör</t>
  </si>
  <si>
    <t>dpstötmotstånd</t>
  </si>
  <si>
    <t>dpTotal</t>
  </si>
  <si>
    <t>Panel</t>
  </si>
  <si>
    <t>2 rörböjar med stötmotstånd 0,75</t>
  </si>
  <si>
    <t>2x180 graders böj omvandlas till rörlängd = 1 meter</t>
  </si>
  <si>
    <t>Noteringar:</t>
  </si>
  <si>
    <t>Förenkling av stötmotstånd</t>
  </si>
  <si>
    <t>Casa Plan</t>
  </si>
  <si>
    <t>Vikt (tom):</t>
  </si>
  <si>
    <t>Volym:</t>
  </si>
  <si>
    <t xml:space="preserve">Versio 3. </t>
  </si>
  <si>
    <r>
      <t>T</t>
    </r>
    <r>
      <rPr>
        <b/>
        <sz val="9"/>
        <color theme="1"/>
        <rFont val="Arial"/>
        <family val="2"/>
      </rPr>
      <t>huone</t>
    </r>
    <r>
      <rPr>
        <b/>
        <sz val="11"/>
        <color theme="1"/>
        <rFont val="Arial"/>
        <family val="2"/>
      </rPr>
      <t xml:space="preserve"> (°C)</t>
    </r>
  </si>
  <si>
    <t>Paneeli 10 mm putkilla. EN 14037-2:2016</t>
  </si>
  <si>
    <t>Nimellisteho</t>
  </si>
  <si>
    <t>Korjattu teho:</t>
  </si>
  <si>
    <t>Virtaama</t>
  </si>
  <si>
    <t>Korjattu virtaama:</t>
  </si>
  <si>
    <t>Painehäviö:</t>
  </si>
  <si>
    <t>Stravent Oy</t>
  </si>
  <si>
    <t>Piispantilankuja 4</t>
  </si>
  <si>
    <t>02240 Espoo</t>
  </si>
  <si>
    <t>Puhelin:</t>
  </si>
  <si>
    <t>Sähköposti:</t>
  </si>
  <si>
    <t>www:</t>
  </si>
  <si>
    <t>09 4241 3630</t>
  </si>
  <si>
    <t>etunimi.sukunimi@stravent.fi</t>
  </si>
  <si>
    <t>www.stravent.fi</t>
  </si>
  <si>
    <t>Stravent Oy pidättää oikeuden tehdä muutoksia tähän taulukkoon ilman erillistä ilmoitusta.</t>
  </si>
  <si>
    <r>
      <t>T</t>
    </r>
    <r>
      <rPr>
        <b/>
        <sz val="9"/>
        <color theme="1"/>
        <rFont val="Arial"/>
        <family val="2"/>
      </rPr>
      <t>meno</t>
    </r>
    <r>
      <rPr>
        <b/>
        <sz val="11"/>
        <color theme="1"/>
        <rFont val="Arial"/>
        <family val="2"/>
      </rPr>
      <t xml:space="preserve"> (°C)</t>
    </r>
  </si>
  <si>
    <r>
      <t>T</t>
    </r>
    <r>
      <rPr>
        <b/>
        <sz val="9"/>
        <color theme="1"/>
        <rFont val="Arial"/>
        <family val="2"/>
      </rPr>
      <t>paluu</t>
    </r>
    <r>
      <rPr>
        <b/>
        <sz val="11"/>
        <color theme="1"/>
        <rFont val="Arial"/>
        <family val="2"/>
      </rPr>
      <t xml:space="preserve"> (°C)</t>
    </r>
  </si>
  <si>
    <t>ΔT</t>
  </si>
  <si>
    <t>Yllä olevat nimellistehot pätevät turbulenttiselle virtaamalle, eli minimi 0,015 l/s. Jos virtaama on</t>
  </si>
  <si>
    <r>
      <t xml:space="preserve">tätä matalampi tai korkeampi, tulisi katsoa kohtaa </t>
    </r>
    <r>
      <rPr>
        <b/>
        <i/>
        <sz val="11"/>
        <color theme="1"/>
        <rFont val="Arial"/>
        <family val="2"/>
      </rPr>
      <t>korjattu teho</t>
    </r>
    <r>
      <rPr>
        <i/>
        <sz val="11"/>
        <color theme="1"/>
        <rFont val="Arial"/>
        <family val="2"/>
      </rPr>
      <t xml:space="preserve"> ja </t>
    </r>
    <r>
      <rPr>
        <b/>
        <i/>
        <sz val="11"/>
        <color theme="1"/>
        <rFont val="Arial"/>
        <family val="2"/>
      </rPr>
      <t>korjattu virtaama</t>
    </r>
    <r>
      <rPr>
        <i/>
        <sz val="11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</si>
</sst>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vertAlign val="superscript"/>
      <sz val="9"/>
      <color rgb="FF59595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right" indent="4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2" fontId="0" fillId="0" borderId="0" xfId="0" applyNumberFormat="1"/>
    <xf numFmtId="0" fontId="2" fillId="0" borderId="0" xfId="0" applyFont="1" applyAlignment="1">
      <alignment horizontal="center" vertical="center" readingOrder="1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1" fontId="0" fillId="0" borderId="8" xfId="0" applyNumberFormat="1" applyBorder="1"/>
    <xf numFmtId="164" fontId="0" fillId="0" borderId="9" xfId="0" applyNumberFormat="1" applyBorder="1"/>
    <xf numFmtId="0" fontId="0" fillId="0" borderId="8" xfId="0" applyBorder="1"/>
    <xf numFmtId="0" fontId="0" fillId="0" borderId="9" xfId="0" applyBorder="1"/>
    <xf numFmtId="167" fontId="0" fillId="0" borderId="0" xfId="0" applyNumberFormat="1"/>
    <xf numFmtId="0" fontId="0" fillId="3" borderId="0" xfId="0" applyFill="1"/>
    <xf numFmtId="164" fontId="0" fillId="3" borderId="0" xfId="0" applyNumberFormat="1" applyFill="1"/>
    <xf numFmtId="166" fontId="0" fillId="3" borderId="0" xfId="0" applyNumberFormat="1" applyFill="1"/>
    <xf numFmtId="0" fontId="1" fillId="0" borderId="5" xfId="0" applyFont="1" applyBorder="1"/>
    <xf numFmtId="0" fontId="1" fillId="0" borderId="6" xfId="0" applyFont="1" applyBorder="1"/>
    <xf numFmtId="1" fontId="1" fillId="0" borderId="0" xfId="0" applyNumberFormat="1" applyFont="1"/>
    <xf numFmtId="0" fontId="0" fillId="0" borderId="2" xfId="0" applyBorder="1"/>
    <xf numFmtId="0" fontId="1" fillId="0" borderId="7" xfId="0" applyFont="1" applyBorder="1"/>
    <xf numFmtId="1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3" borderId="13" xfId="0" applyFont="1" applyFill="1" applyBorder="1" applyAlignment="1">
      <alignment horizontal="left"/>
    </xf>
    <xf numFmtId="0" fontId="0" fillId="3" borderId="5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166" fontId="0" fillId="2" borderId="8" xfId="0" applyNumberFormat="1" applyFill="1" applyBorder="1"/>
    <xf numFmtId="0" fontId="0" fillId="4" borderId="14" xfId="0" applyFill="1" applyBorder="1"/>
    <xf numFmtId="0" fontId="0" fillId="5" borderId="14" xfId="0" applyFill="1" applyBorder="1"/>
    <xf numFmtId="166" fontId="0" fillId="4" borderId="14" xfId="0" applyNumberFormat="1" applyFill="1" applyBorder="1"/>
    <xf numFmtId="167" fontId="0" fillId="5" borderId="14" xfId="0" applyNumberForma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0" fontId="1" fillId="3" borderId="0" xfId="0" applyFont="1" applyFill="1"/>
    <xf numFmtId="0" fontId="0" fillId="3" borderId="14" xfId="0" applyFill="1" applyBorder="1"/>
    <xf numFmtId="1" fontId="0" fillId="5" borderId="14" xfId="0" applyNumberForma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hidden="1"/>
    </xf>
    <xf numFmtId="0" fontId="9" fillId="0" borderId="2" xfId="0" applyFont="1" applyBorder="1"/>
    <xf numFmtId="0" fontId="8" fillId="0" borderId="3" xfId="0" applyFont="1" applyBorder="1"/>
    <xf numFmtId="1" fontId="8" fillId="0" borderId="3" xfId="0" applyNumberFormat="1" applyFont="1" applyBorder="1" applyProtection="1">
      <protection hidden="1"/>
    </xf>
    <xf numFmtId="0" fontId="8" fillId="0" borderId="4" xfId="0" applyFont="1" applyBorder="1"/>
    <xf numFmtId="0" fontId="8" fillId="0" borderId="2" xfId="0" applyFont="1" applyBorder="1"/>
    <xf numFmtId="165" fontId="8" fillId="0" borderId="3" xfId="0" applyNumberFormat="1" applyFont="1" applyBorder="1" applyProtection="1">
      <protection hidden="1"/>
    </xf>
    <xf numFmtId="0" fontId="8" fillId="0" borderId="5" xfId="0" applyFont="1" applyBorder="1"/>
    <xf numFmtId="1" fontId="8" fillId="0" borderId="0" xfId="0" applyNumberFormat="1" applyFont="1" applyProtection="1">
      <protection hidden="1"/>
    </xf>
    <xf numFmtId="0" fontId="9" fillId="0" borderId="6" xfId="0" applyFont="1" applyBorder="1"/>
    <xf numFmtId="0" fontId="8" fillId="0" borderId="6" xfId="0" applyFont="1" applyBorder="1"/>
    <xf numFmtId="164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0" fontId="8" fillId="0" borderId="7" xfId="0" applyFont="1" applyBorder="1"/>
    <xf numFmtId="0" fontId="8" fillId="0" borderId="8" xfId="0" applyFont="1" applyBorder="1"/>
    <xf numFmtId="0" fontId="9" fillId="0" borderId="8" xfId="0" applyFont="1" applyBorder="1"/>
    <xf numFmtId="0" fontId="9" fillId="0" borderId="9" xfId="0" applyFont="1" applyBorder="1"/>
    <xf numFmtId="2" fontId="8" fillId="0" borderId="8" xfId="0" applyNumberFormat="1" applyFont="1" applyBorder="1" applyProtection="1">
      <protection hidden="1"/>
    </xf>
    <xf numFmtId="0" fontId="8" fillId="0" borderId="9" xfId="0" applyFont="1" applyBorder="1"/>
    <xf numFmtId="0" fontId="9" fillId="0" borderId="5" xfId="0" applyFont="1" applyBorder="1"/>
    <xf numFmtId="0" fontId="11" fillId="0" borderId="0" xfId="0" applyFont="1"/>
    <xf numFmtId="0" fontId="8" fillId="2" borderId="14" xfId="0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right"/>
      <protection hidden="1"/>
    </xf>
    <xf numFmtId="164" fontId="9" fillId="3" borderId="14" xfId="0" applyNumberFormat="1" applyFont="1" applyFill="1" applyBorder="1" applyAlignment="1" applyProtection="1">
      <alignment horizontal="right"/>
      <protection hidden="1"/>
    </xf>
    <xf numFmtId="165" fontId="9" fillId="3" borderId="15" xfId="0" applyNumberFormat="1" applyFont="1" applyFill="1" applyBorder="1" applyAlignment="1" applyProtection="1">
      <alignment horizontal="right"/>
      <protection hidden="1"/>
    </xf>
    <xf numFmtId="165" fontId="9" fillId="3" borderId="16" xfId="0" applyNumberFormat="1" applyFont="1" applyFill="1" applyBorder="1" applyAlignment="1" applyProtection="1">
      <alignment horizontal="right"/>
      <protection hidden="1"/>
    </xf>
    <xf numFmtId="0" fontId="8" fillId="0" borderId="17" xfId="0" applyFont="1" applyBorder="1"/>
    <xf numFmtId="0" fontId="8" fillId="0" borderId="1" xfId="0" applyFont="1" applyBorder="1"/>
    <xf numFmtId="0" fontId="8" fillId="0" borderId="18" xfId="0" applyFont="1" applyBorder="1"/>
    <xf numFmtId="0" fontId="0" fillId="0" borderId="0" xfId="0" quotePrefix="1"/>
    <xf numFmtId="0" fontId="13" fillId="0" borderId="0" xfId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ki" xfId="1" builtinId="8"/>
    <cellStyle name="Normaali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Flöde 0,004-0,025, ekvation 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backward val="1.0000000000000002E-3"/>
            <c:intercept val="0.60000000000000009"/>
            <c:dispRSqr val="1"/>
            <c:dispEq val="1"/>
            <c:trendlineLbl>
              <c:layout>
                <c:manualLayout>
                  <c:x val="0.14860825979746117"/>
                  <c:y val="0.32087200168557212"/>
                </c:manualLayout>
              </c:layout>
              <c:numFmt formatCode="#,##0.000000000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Effektfaktor!$A$2:$A$22</c:f>
              <c:numCache>
                <c:formatCode>General</c:formatCode>
                <c:ptCount val="21"/>
                <c:pt idx="0">
                  <c:v>5.0000000000000001E-3</c:v>
                </c:pt>
                <c:pt idx="1">
                  <c:v>5.6249999999999998E-3</c:v>
                </c:pt>
                <c:pt idx="2">
                  <c:v>6.2500000000000003E-3</c:v>
                </c:pt>
                <c:pt idx="3">
                  <c:v>6.875E-3</c:v>
                </c:pt>
                <c:pt idx="4">
                  <c:v>7.4999999999999997E-3</c:v>
                </c:pt>
                <c:pt idx="5">
                  <c:v>8.1250000000000003E-3</c:v>
                </c:pt>
                <c:pt idx="6">
                  <c:v>8.7500000000000008E-3</c:v>
                </c:pt>
                <c:pt idx="7">
                  <c:v>9.3749999999999997E-3</c:v>
                </c:pt>
                <c:pt idx="8">
                  <c:v>0.01</c:v>
                </c:pt>
                <c:pt idx="9">
                  <c:v>1.125E-2</c:v>
                </c:pt>
                <c:pt idx="10">
                  <c:v>1.2500000000000001E-2</c:v>
                </c:pt>
                <c:pt idx="11">
                  <c:v>1.375E-2</c:v>
                </c:pt>
                <c:pt idx="12">
                  <c:v>1.4999999999999999E-2</c:v>
                </c:pt>
                <c:pt idx="13">
                  <c:v>1.6250000000000001E-2</c:v>
                </c:pt>
                <c:pt idx="14">
                  <c:v>1.7500000000000002E-2</c:v>
                </c:pt>
                <c:pt idx="15">
                  <c:v>1.8749999999999999E-2</c:v>
                </c:pt>
                <c:pt idx="16">
                  <c:v>0.02</c:v>
                </c:pt>
                <c:pt idx="17">
                  <c:v>2.1250000000000002E-2</c:v>
                </c:pt>
                <c:pt idx="18">
                  <c:v>2.2499999999999999E-2</c:v>
                </c:pt>
                <c:pt idx="19">
                  <c:v>2.375E-2</c:v>
                </c:pt>
                <c:pt idx="20">
                  <c:v>2.5000000000000001E-2</c:v>
                </c:pt>
              </c:numCache>
            </c:numRef>
          </c:xVal>
          <c:yVal>
            <c:numRef>
              <c:f>Effektfaktor!$B$2:$B$22</c:f>
              <c:numCache>
                <c:formatCode>0.000</c:formatCode>
                <c:ptCount val="21"/>
                <c:pt idx="0">
                  <c:v>0.87575301204819278</c:v>
                </c:pt>
                <c:pt idx="1">
                  <c:v>0.89100000000000001</c:v>
                </c:pt>
                <c:pt idx="2">
                  <c:v>0.90700000000000003</c:v>
                </c:pt>
                <c:pt idx="3">
                  <c:v>0.92300000000000004</c:v>
                </c:pt>
                <c:pt idx="4">
                  <c:v>0.93850415512465379</c:v>
                </c:pt>
                <c:pt idx="5">
                  <c:v>0.94899999999999995</c:v>
                </c:pt>
                <c:pt idx="6">
                  <c:v>0.96</c:v>
                </c:pt>
                <c:pt idx="7">
                  <c:v>0.96599999999999997</c:v>
                </c:pt>
                <c:pt idx="8">
                  <c:v>0.97293035479632062</c:v>
                </c:pt>
                <c:pt idx="9" formatCode="0.00">
                  <c:v>0.98150000000000004</c:v>
                </c:pt>
                <c:pt idx="10" formatCode="0.00">
                  <c:v>0.99</c:v>
                </c:pt>
                <c:pt idx="11">
                  <c:v>0.995</c:v>
                </c:pt>
                <c:pt idx="12" formatCode="General">
                  <c:v>1</c:v>
                </c:pt>
                <c:pt idx="13" formatCode="General">
                  <c:v>1.0017499999999999</c:v>
                </c:pt>
                <c:pt idx="14" formatCode="General">
                  <c:v>1.0035000000000001</c:v>
                </c:pt>
                <c:pt idx="15" formatCode="General">
                  <c:v>1.00525</c:v>
                </c:pt>
                <c:pt idx="16">
                  <c:v>1.0073897497020263</c:v>
                </c:pt>
                <c:pt idx="17">
                  <c:v>1.0082500000000001</c:v>
                </c:pt>
                <c:pt idx="18">
                  <c:v>1.00945</c:v>
                </c:pt>
                <c:pt idx="19">
                  <c:v>1.01065</c:v>
                </c:pt>
                <c:pt idx="20" formatCode="0.0000">
                  <c:v>1.0118742724097789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AC-48D0-8131-535EE51B379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33326248"/>
        <c:axId val="533328216"/>
      </c:scatterChart>
      <c:valAx>
        <c:axId val="533326248"/>
        <c:scaling>
          <c:orientation val="minMax"/>
          <c:min val="4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3328216"/>
        <c:crosses val="autoZero"/>
        <c:crossBetween val="midCat"/>
      </c:valAx>
      <c:valAx>
        <c:axId val="533328216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3326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Flöde 0,025-0,06, ekvation BC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intercept val="0.60000000000000009"/>
            <c:dispRSqr val="1"/>
            <c:dispEq val="0"/>
            <c:trendlineLbl>
              <c:layout>
                <c:manualLayout>
                  <c:x val="-1.2045627159456554E-2"/>
                  <c:y val="-0.12395539768390143"/>
                </c:manualLayout>
              </c:layout>
              <c:numFmt formatCode="#,##0.000000000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Effektfaktor!$A$23:$A$30</c:f>
              <c:numCache>
                <c:formatCode>General</c:formatCode>
                <c:ptCount val="8"/>
                <c:pt idx="0">
                  <c:v>2.5000999999999999E-2</c:v>
                </c:pt>
                <c:pt idx="1">
                  <c:v>0.03</c:v>
                </c:pt>
                <c:pt idx="2">
                  <c:v>3.5000000000000003E-2</c:v>
                </c:pt>
                <c:pt idx="3">
                  <c:v>0.04</c:v>
                </c:pt>
                <c:pt idx="4">
                  <c:v>4.4999999999999998E-2</c:v>
                </c:pt>
                <c:pt idx="5">
                  <c:v>0.05</c:v>
                </c:pt>
                <c:pt idx="6">
                  <c:v>5.5E-2</c:v>
                </c:pt>
                <c:pt idx="7">
                  <c:v>0.06</c:v>
                </c:pt>
              </c:numCache>
            </c:numRef>
          </c:xVal>
          <c:yVal>
            <c:numRef>
              <c:f>Effektfaktor!$B$23:$B$30</c:f>
              <c:numCache>
                <c:formatCode>0.0000</c:formatCode>
                <c:ptCount val="8"/>
                <c:pt idx="0">
                  <c:v>1.0119</c:v>
                </c:pt>
                <c:pt idx="1">
                  <c:v>1.0163587951175315</c:v>
                </c:pt>
                <c:pt idx="2">
                  <c:v>1.020843317825284</c:v>
                </c:pt>
                <c:pt idx="3">
                  <c:v>1.0253278405330366</c:v>
                </c:pt>
                <c:pt idx="4">
                  <c:v>1.0298123632407892</c:v>
                </c:pt>
                <c:pt idx="5">
                  <c:v>1.0342968859485417</c:v>
                </c:pt>
                <c:pt idx="6">
                  <c:v>1.0387814086562943</c:v>
                </c:pt>
                <c:pt idx="7">
                  <c:v>1.0432659313640469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07-4D6C-A792-03981DE867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33326248"/>
        <c:axId val="533328216"/>
      </c:scatterChart>
      <c:valAx>
        <c:axId val="533326248"/>
        <c:scaling>
          <c:orientation val="minMax"/>
          <c:min val="4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3328216"/>
        <c:crosses val="autoZero"/>
        <c:crossBetween val="midCat"/>
      </c:valAx>
      <c:valAx>
        <c:axId val="533328216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3326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859896</xdr:colOff>
      <xdr:row>0</xdr:row>
      <xdr:rowOff>66145</xdr:rowOff>
    </xdr:from>
    <xdr:to>
      <xdr:col>6</xdr:col>
      <xdr:colOff>699303</xdr:colOff>
      <xdr:row>3</xdr:row>
      <xdr:rowOff>132292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5FE173FF-412D-66FA-38A3-D7C25EC7F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3438" y="66145"/>
          <a:ext cx="1493053" cy="648230"/>
        </a:xfrm>
        <a:prstGeom prst="rect">
          <a:avLst/>
        </a:prstGeom>
      </xdr:spPr>
    </xdr:pic>
    <xdr:clientData/>
  </xdr:twoCellAnchor>
  <xdr:twoCellAnchor editAs="oneCell">
    <xdr:from>
      <xdr:col>6</xdr:col>
      <xdr:colOff>251354</xdr:colOff>
      <xdr:row>39</xdr:row>
      <xdr:rowOff>132291</xdr:rowOff>
    </xdr:from>
    <xdr:to>
      <xdr:col>8</xdr:col>
      <xdr:colOff>315657</xdr:colOff>
      <xdr:row>43</xdr:row>
      <xdr:rowOff>39687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D7824E9E-26E2-4B4C-99CE-510EB2AC7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542" y="7077604"/>
          <a:ext cx="1493053" cy="64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566737</xdr:colOff>
      <xdr:row>3</xdr:row>
      <xdr:rowOff>157162</xdr:rowOff>
    </xdr:from>
    <xdr:to>
      <xdr:col>8</xdr:col>
      <xdr:colOff>504825</xdr:colOff>
      <xdr:row>18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570EE6-3E46-4BFC-8273-8149D7747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3</xdr:row>
      <xdr:rowOff>161925</xdr:rowOff>
    </xdr:from>
    <xdr:to>
      <xdr:col>15</xdr:col>
      <xdr:colOff>461963</xdr:colOff>
      <xdr:row>18</xdr:row>
      <xdr:rowOff>71438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0A3CF54-BFC4-448B-9B25-34179A297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ravent.fi/" TargetMode="External"/><Relationship Id="rId1" Type="http://schemas.openxmlformats.org/officeDocument/2006/relationships/hyperlink" Target="mailto:etunimi.sukunimi@stravent.f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showGridLines="0" tabSelected="1" zoomScale="96" zoomScaleNormal="96" workbookViewId="0">
      <selection activeCell="N45" sqref="N45"/>
    </sheetView>
  </sheetViews>
  <sheetFormatPr baseColWidth="10" defaultColWidth="8.83203125" defaultRowHeight="15" x14ac:dyDescent="0.2"/>
  <cols>
    <col min="1" max="1" width="10.33203125" customWidth="1"/>
    <col min="2" max="2" width="13.83203125" customWidth="1"/>
    <col min="3" max="3" width="14.5" customWidth="1"/>
    <col min="4" max="4" width="10.83203125" customWidth="1"/>
    <col min="5" max="5" width="12.1640625" customWidth="1"/>
    <col min="6" max="7" width="9.5" customWidth="1"/>
    <col min="8" max="8" width="9.1640625" customWidth="1"/>
    <col min="9" max="9" width="4.83203125" customWidth="1"/>
    <col min="10" max="10" width="11.1640625" customWidth="1"/>
    <col min="11" max="11" width="15.1640625" hidden="1" customWidth="1"/>
    <col min="12" max="13" width="9.1640625" hidden="1" customWidth="1"/>
    <col min="14" max="14" width="12.1640625" customWidth="1"/>
    <col min="15" max="15" width="9.1640625" customWidth="1"/>
    <col min="16" max="16" width="14.5" customWidth="1"/>
  </cols>
  <sheetData>
    <row r="1" spans="1:17" ht="31" customHeight="1" x14ac:dyDescent="0.3">
      <c r="A1" s="52" t="s">
        <v>96</v>
      </c>
    </row>
    <row r="2" spans="1:17" x14ac:dyDescent="0.2">
      <c r="A2" s="53" t="s">
        <v>101</v>
      </c>
      <c r="B2" s="53"/>
      <c r="C2" s="53"/>
    </row>
    <row r="3" spans="1:17" hidden="1" x14ac:dyDescent="0.2">
      <c r="A3" s="1" t="s">
        <v>0</v>
      </c>
      <c r="B3">
        <v>3.0287999999999999</v>
      </c>
    </row>
    <row r="4" spans="1:17" x14ac:dyDescent="0.2">
      <c r="A4" s="1"/>
    </row>
    <row r="5" spans="1:17" x14ac:dyDescent="0.2">
      <c r="A5" s="54" t="s">
        <v>117</v>
      </c>
      <c r="B5" s="77">
        <v>50</v>
      </c>
      <c r="C5" s="55" t="s">
        <v>11</v>
      </c>
      <c r="D5" s="8"/>
      <c r="F5" s="53" t="s">
        <v>99</v>
      </c>
      <c r="G5" s="87">
        <v>43655</v>
      </c>
      <c r="H5" s="88"/>
    </row>
    <row r="6" spans="1:17" x14ac:dyDescent="0.2">
      <c r="A6" s="54" t="s">
        <v>118</v>
      </c>
      <c r="B6" s="77">
        <v>45</v>
      </c>
      <c r="C6" s="55" t="s">
        <v>11</v>
      </c>
    </row>
    <row r="7" spans="1:17" x14ac:dyDescent="0.2">
      <c r="A7" s="54" t="s">
        <v>100</v>
      </c>
      <c r="B7" s="77">
        <v>20</v>
      </c>
      <c r="C7" s="55" t="s">
        <v>11</v>
      </c>
    </row>
    <row r="8" spans="1:17" x14ac:dyDescent="0.2">
      <c r="A8" s="54" t="s">
        <v>119</v>
      </c>
      <c r="B8" s="56">
        <f>(B5+B6)/2-B7</f>
        <v>27.5</v>
      </c>
      <c r="C8" s="55" t="s">
        <v>11</v>
      </c>
      <c r="I8" s="3"/>
      <c r="J8" s="3"/>
      <c r="Q8" s="25"/>
    </row>
    <row r="9" spans="1:17" hidden="1" x14ac:dyDescent="0.2">
      <c r="A9" s="1" t="s">
        <v>1</v>
      </c>
      <c r="B9">
        <v>1.1813</v>
      </c>
      <c r="C9" s="4"/>
    </row>
    <row r="10" spans="1:17" hidden="1" x14ac:dyDescent="0.2"/>
    <row r="11" spans="1:17" hidden="1" x14ac:dyDescent="0.2">
      <c r="B11" s="3" t="s">
        <v>2</v>
      </c>
      <c r="C11" s="3"/>
      <c r="D11" s="2">
        <f>B3*((B5+B6)/2-B7)^B9</f>
        <v>151.89878771992747</v>
      </c>
      <c r="E11" t="s">
        <v>3</v>
      </c>
      <c r="J11" s="2"/>
    </row>
    <row r="12" spans="1:17" ht="16" thickBot="1" x14ac:dyDescent="0.25"/>
    <row r="13" spans="1:17" x14ac:dyDescent="0.2">
      <c r="A13" s="57" t="s">
        <v>4</v>
      </c>
      <c r="B13" s="82"/>
      <c r="C13" s="58" t="s">
        <v>102</v>
      </c>
      <c r="D13" s="59">
        <f>(D11*1.2)</f>
        <v>182.27854526391295</v>
      </c>
      <c r="E13" s="58" t="s">
        <v>8</v>
      </c>
      <c r="F13" s="60"/>
      <c r="G13" s="61" t="s">
        <v>97</v>
      </c>
      <c r="H13" s="62">
        <f>H28/3*1.2</f>
        <v>3.9799999999999995</v>
      </c>
      <c r="I13" s="60" t="s">
        <v>12</v>
      </c>
      <c r="J13" s="9"/>
    </row>
    <row r="14" spans="1:17" x14ac:dyDescent="0.2">
      <c r="A14" s="63"/>
      <c r="B14" s="83"/>
      <c r="C14" s="54" t="s">
        <v>103</v>
      </c>
      <c r="D14" s="64"/>
      <c r="E14" s="78">
        <f>Effektfaktor!E66</f>
        <v>173.33520365519291</v>
      </c>
      <c r="F14" s="65" t="s">
        <v>8</v>
      </c>
      <c r="G14" s="63"/>
      <c r="H14" s="56"/>
      <c r="I14" s="66"/>
    </row>
    <row r="15" spans="1:17" x14ac:dyDescent="0.2">
      <c r="A15" s="63"/>
      <c r="B15" s="83"/>
      <c r="C15" s="53" t="s">
        <v>104</v>
      </c>
      <c r="D15" s="67">
        <f>(D13/(1.164*(B5-B6)))/3600</f>
        <v>8.6998160206144017E-3</v>
      </c>
      <c r="E15" s="53" t="s">
        <v>9</v>
      </c>
      <c r="F15" s="66"/>
      <c r="G15" s="63" t="s">
        <v>98</v>
      </c>
      <c r="H15" s="68">
        <f>L15*L34</f>
        <v>0.23590616741999998</v>
      </c>
      <c r="I15" s="66" t="s">
        <v>13</v>
      </c>
      <c r="K15" t="s">
        <v>14</v>
      </c>
      <c r="L15">
        <f>L20-(4*6)</f>
        <v>42.569999999999993</v>
      </c>
      <c r="M15" t="s">
        <v>15</v>
      </c>
    </row>
    <row r="16" spans="1:17" x14ac:dyDescent="0.2">
      <c r="A16" s="63"/>
      <c r="B16" s="83"/>
      <c r="C16" s="54" t="s">
        <v>105</v>
      </c>
      <c r="D16" s="53"/>
      <c r="E16" s="79">
        <f>Effektfaktor!F66</f>
        <v>8.2737567377180396E-3</v>
      </c>
      <c r="F16" s="65" t="s">
        <v>9</v>
      </c>
      <c r="G16" s="63"/>
      <c r="H16" s="68"/>
      <c r="I16" s="66"/>
    </row>
    <row r="17" spans="1:13" ht="16" thickBot="1" x14ac:dyDescent="0.25">
      <c r="A17" s="69"/>
      <c r="B17" s="84"/>
      <c r="C17" s="71" t="s">
        <v>106</v>
      </c>
      <c r="D17" s="70"/>
      <c r="E17" s="80">
        <f>Tryckfall!P5</f>
        <v>0.2</v>
      </c>
      <c r="F17" s="72" t="s">
        <v>75</v>
      </c>
      <c r="G17" s="69"/>
      <c r="H17" s="73"/>
      <c r="I17" s="74"/>
    </row>
    <row r="18" spans="1:13" x14ac:dyDescent="0.2">
      <c r="A18" s="75" t="s">
        <v>5</v>
      </c>
      <c r="B18" s="82"/>
      <c r="C18" s="58" t="s">
        <v>102</v>
      </c>
      <c r="D18" s="64">
        <f>(D11*1.8)</f>
        <v>273.41781789586946</v>
      </c>
      <c r="E18" s="53" t="s">
        <v>8</v>
      </c>
      <c r="F18" s="66"/>
      <c r="G18" s="63" t="s">
        <v>97</v>
      </c>
      <c r="H18" s="56">
        <f>H28/3*1.8</f>
        <v>5.97</v>
      </c>
      <c r="I18" s="66" t="s">
        <v>12</v>
      </c>
    </row>
    <row r="19" spans="1:13" x14ac:dyDescent="0.2">
      <c r="A19" s="63"/>
      <c r="B19" s="83"/>
      <c r="C19" s="54" t="s">
        <v>103</v>
      </c>
      <c r="D19" s="53"/>
      <c r="E19" s="78">
        <f>Effektfaktor!E67</f>
        <v>271.40761289482066</v>
      </c>
      <c r="F19" s="65" t="s">
        <v>8</v>
      </c>
      <c r="G19" s="63"/>
      <c r="H19" s="56"/>
      <c r="I19" s="66"/>
    </row>
    <row r="20" spans="1:13" x14ac:dyDescent="0.2">
      <c r="A20" s="63"/>
      <c r="B20" s="83"/>
      <c r="C20" s="53" t="s">
        <v>104</v>
      </c>
      <c r="D20" s="67">
        <f>(D18/(1.164*(B5-B6)))/3600</f>
        <v>1.3049724030921608E-2</v>
      </c>
      <c r="E20" s="53" t="s">
        <v>9</v>
      </c>
      <c r="F20" s="66"/>
      <c r="G20" s="63" t="s">
        <v>98</v>
      </c>
      <c r="H20" s="68">
        <f>L20*L34</f>
        <v>0.36890471141999998</v>
      </c>
      <c r="I20" s="66" t="s">
        <v>13</v>
      </c>
      <c r="K20" t="s">
        <v>14</v>
      </c>
      <c r="L20">
        <f>L25-(4*6)</f>
        <v>66.569999999999993</v>
      </c>
      <c r="M20" t="s">
        <v>15</v>
      </c>
    </row>
    <row r="21" spans="1:13" x14ac:dyDescent="0.2">
      <c r="A21" s="63"/>
      <c r="B21" s="83"/>
      <c r="C21" s="54" t="s">
        <v>105</v>
      </c>
      <c r="D21" s="53"/>
      <c r="E21" s="79">
        <f>Effektfaktor!F67</f>
        <v>1.2955017321948481E-2</v>
      </c>
      <c r="F21" s="65" t="s">
        <v>9</v>
      </c>
      <c r="G21" s="63"/>
      <c r="H21" s="68"/>
      <c r="I21" s="66"/>
    </row>
    <row r="22" spans="1:13" ht="16" thickBot="1" x14ac:dyDescent="0.25">
      <c r="A22" s="63"/>
      <c r="B22" s="84"/>
      <c r="C22" s="71" t="s">
        <v>106</v>
      </c>
      <c r="D22" s="53"/>
      <c r="E22" s="81">
        <f>Tryckfall!P6</f>
        <v>1.2</v>
      </c>
      <c r="F22" s="65" t="s">
        <v>75</v>
      </c>
      <c r="G22" s="63"/>
      <c r="H22" s="68"/>
      <c r="I22" s="66"/>
    </row>
    <row r="23" spans="1:13" x14ac:dyDescent="0.2">
      <c r="A23" s="57" t="s">
        <v>6</v>
      </c>
      <c r="B23" s="82"/>
      <c r="C23" s="58" t="s">
        <v>102</v>
      </c>
      <c r="D23" s="59">
        <f>D11*2.4</f>
        <v>364.55709052782589</v>
      </c>
      <c r="E23" s="58" t="s">
        <v>8</v>
      </c>
      <c r="F23" s="60"/>
      <c r="G23" s="61" t="s">
        <v>97</v>
      </c>
      <c r="H23" s="62">
        <f>H28/3*2.4</f>
        <v>7.9599999999999991</v>
      </c>
      <c r="I23" s="60" t="s">
        <v>12</v>
      </c>
    </row>
    <row r="24" spans="1:13" x14ac:dyDescent="0.2">
      <c r="A24" s="63"/>
      <c r="B24" s="83"/>
      <c r="C24" s="54" t="s">
        <v>103</v>
      </c>
      <c r="D24" s="64"/>
      <c r="E24" s="78">
        <f>Effektfaktor!E68</f>
        <v>365.71210198089426</v>
      </c>
      <c r="F24" s="65" t="s">
        <v>8</v>
      </c>
      <c r="G24" s="63"/>
      <c r="H24" s="56"/>
      <c r="I24" s="66"/>
    </row>
    <row r="25" spans="1:13" x14ac:dyDescent="0.2">
      <c r="A25" s="63"/>
      <c r="B25" s="83"/>
      <c r="C25" s="53" t="s">
        <v>104</v>
      </c>
      <c r="D25" s="67">
        <f>(D23/(1.164*(B5-B6)))/3600</f>
        <v>1.7399632041228803E-2</v>
      </c>
      <c r="E25" s="53" t="s">
        <v>9</v>
      </c>
      <c r="F25" s="66"/>
      <c r="G25" s="63" t="s">
        <v>98</v>
      </c>
      <c r="H25" s="68">
        <f>L25*L34</f>
        <v>0.50190325542000003</v>
      </c>
      <c r="I25" s="66" t="s">
        <v>13</v>
      </c>
      <c r="K25" t="s">
        <v>14</v>
      </c>
      <c r="L25">
        <f>L30-(4*6)</f>
        <v>90.57</v>
      </c>
      <c r="M25" t="s">
        <v>15</v>
      </c>
    </row>
    <row r="26" spans="1:13" x14ac:dyDescent="0.2">
      <c r="A26" s="63"/>
      <c r="B26" s="83"/>
      <c r="C26" s="54" t="s">
        <v>105</v>
      </c>
      <c r="D26" s="53"/>
      <c r="E26" s="79">
        <f>Effektfaktor!F68</f>
        <v>1.7456424915555813E-2</v>
      </c>
      <c r="F26" s="65" t="s">
        <v>9</v>
      </c>
      <c r="G26" s="63"/>
      <c r="H26" s="68"/>
      <c r="I26" s="66"/>
    </row>
    <row r="27" spans="1:13" ht="16" thickBot="1" x14ac:dyDescent="0.25">
      <c r="A27" s="69"/>
      <c r="B27" s="84"/>
      <c r="C27" s="71" t="s">
        <v>106</v>
      </c>
      <c r="D27" s="70"/>
      <c r="E27" s="80">
        <f>Tryckfall!P7</f>
        <v>2.8</v>
      </c>
      <c r="F27" s="72" t="s">
        <v>75</v>
      </c>
      <c r="G27" s="69"/>
      <c r="H27" s="73"/>
      <c r="I27" s="74"/>
    </row>
    <row r="28" spans="1:13" x14ac:dyDescent="0.2">
      <c r="A28" s="57" t="s">
        <v>7</v>
      </c>
      <c r="B28" s="82"/>
      <c r="C28" s="58" t="s">
        <v>102</v>
      </c>
      <c r="D28" s="59">
        <f>D11*3</f>
        <v>455.69636315978244</v>
      </c>
      <c r="E28" s="58" t="s">
        <v>8</v>
      </c>
      <c r="F28" s="60"/>
      <c r="G28" s="61" t="s">
        <v>97</v>
      </c>
      <c r="H28" s="62">
        <v>9.9499999999999993</v>
      </c>
      <c r="I28" s="60" t="s">
        <v>12</v>
      </c>
      <c r="J28" s="9"/>
    </row>
    <row r="29" spans="1:13" x14ac:dyDescent="0.2">
      <c r="A29" s="63"/>
      <c r="B29" s="83"/>
      <c r="C29" s="54" t="s">
        <v>103</v>
      </c>
      <c r="D29" s="64"/>
      <c r="E29" s="78">
        <f>Effektfaktor!E69</f>
        <v>460.07361624531626</v>
      </c>
      <c r="F29" s="65" t="s">
        <v>8</v>
      </c>
      <c r="G29" s="63"/>
      <c r="H29" s="56"/>
      <c r="I29" s="66"/>
    </row>
    <row r="30" spans="1:13" x14ac:dyDescent="0.2">
      <c r="A30" s="63"/>
      <c r="B30" s="83"/>
      <c r="C30" s="53" t="s">
        <v>104</v>
      </c>
      <c r="D30" s="67">
        <f>(D28/(1.164*(B5-B6)))/3600</f>
        <v>2.1749540051536013E-2</v>
      </c>
      <c r="E30" s="53" t="s">
        <v>9</v>
      </c>
      <c r="F30" s="66"/>
      <c r="G30" s="63" t="s">
        <v>98</v>
      </c>
      <c r="H30" s="68">
        <f>L30*L34</f>
        <v>0.63490179942000002</v>
      </c>
      <c r="I30" s="66" t="s">
        <v>13</v>
      </c>
      <c r="K30" t="s">
        <v>14</v>
      </c>
      <c r="L30">
        <f>(26.34*4)+(3*2.25)+(1.23*2)</f>
        <v>114.57</v>
      </c>
      <c r="M30" t="s">
        <v>15</v>
      </c>
    </row>
    <row r="31" spans="1:13" x14ac:dyDescent="0.2">
      <c r="A31" s="63"/>
      <c r="B31" s="83"/>
      <c r="C31" s="54" t="s">
        <v>105</v>
      </c>
      <c r="D31" s="53"/>
      <c r="E31" s="79">
        <f>Effektfaktor!F69</f>
        <v>2.1960554474716766E-2</v>
      </c>
      <c r="F31" s="65" t="s">
        <v>9</v>
      </c>
      <c r="G31" s="63"/>
      <c r="H31" s="68"/>
      <c r="I31" s="66"/>
    </row>
    <row r="32" spans="1:13" ht="16" thickBot="1" x14ac:dyDescent="0.25">
      <c r="A32" s="69"/>
      <c r="B32" s="84"/>
      <c r="C32" s="71" t="s">
        <v>106</v>
      </c>
      <c r="D32" s="70"/>
      <c r="E32" s="80">
        <f>Tryckfall!P8</f>
        <v>5.2</v>
      </c>
      <c r="F32" s="72" t="s">
        <v>75</v>
      </c>
      <c r="G32" s="69"/>
      <c r="H32" s="73"/>
      <c r="I32" s="74"/>
    </row>
    <row r="33" spans="1:13" x14ac:dyDescent="0.2">
      <c r="A33" s="53"/>
      <c r="B33" s="53"/>
      <c r="C33" s="53"/>
      <c r="D33" s="53"/>
      <c r="E33" s="53"/>
      <c r="F33" s="53"/>
      <c r="G33" s="53"/>
      <c r="H33" s="53"/>
      <c r="I33" s="53"/>
    </row>
    <row r="34" spans="1:13" x14ac:dyDescent="0.2">
      <c r="A34" s="76" t="s">
        <v>120</v>
      </c>
      <c r="B34" s="53"/>
      <c r="C34" s="53"/>
      <c r="D34" s="53"/>
      <c r="E34" s="53"/>
      <c r="F34" s="53"/>
      <c r="G34" s="53"/>
      <c r="H34" s="53"/>
      <c r="I34" s="53"/>
      <c r="K34" t="s">
        <v>17</v>
      </c>
      <c r="L34">
        <f>((3.1415*0.084*0.084)/4)</f>
        <v>5.5416060000000001E-3</v>
      </c>
      <c r="M34" t="s">
        <v>16</v>
      </c>
    </row>
    <row r="35" spans="1:13" x14ac:dyDescent="0.2">
      <c r="A35" s="76" t="s">
        <v>121</v>
      </c>
      <c r="B35" s="53"/>
      <c r="C35" s="53"/>
      <c r="D35" s="53"/>
      <c r="E35" s="53"/>
      <c r="F35" s="53"/>
      <c r="G35" s="53"/>
      <c r="H35" s="53"/>
      <c r="I35" s="53"/>
    </row>
    <row r="36" spans="1:13" x14ac:dyDescent="0.2">
      <c r="A36" s="76"/>
      <c r="B36" s="53"/>
      <c r="C36" s="53"/>
      <c r="D36" s="53"/>
      <c r="E36" s="53"/>
      <c r="F36" s="53"/>
      <c r="G36" s="53"/>
      <c r="H36" s="53"/>
      <c r="I36" s="53"/>
    </row>
    <row r="37" spans="1:13" x14ac:dyDescent="0.2">
      <c r="A37" s="53"/>
      <c r="B37" s="53"/>
      <c r="C37" s="53"/>
      <c r="D37" s="53"/>
      <c r="E37" s="53"/>
      <c r="F37" s="53"/>
      <c r="G37" s="53"/>
      <c r="H37" s="53"/>
      <c r="I37" s="53"/>
    </row>
    <row r="38" spans="1:13" x14ac:dyDescent="0.2">
      <c r="A38" s="51" t="s">
        <v>116</v>
      </c>
      <c r="B38" s="53"/>
      <c r="C38" s="53"/>
      <c r="D38" s="53"/>
      <c r="E38" s="53"/>
      <c r="F38" s="53"/>
      <c r="G38" s="53"/>
      <c r="H38" s="53"/>
      <c r="I38" s="53"/>
    </row>
    <row r="39" spans="1:13" x14ac:dyDescent="0.2">
      <c r="B39" s="53"/>
      <c r="C39" s="53"/>
      <c r="D39" s="53"/>
      <c r="E39" s="53"/>
      <c r="F39" s="53"/>
      <c r="G39" s="53"/>
      <c r="H39" s="53"/>
      <c r="I39" s="53"/>
    </row>
    <row r="40" spans="1:13" x14ac:dyDescent="0.2">
      <c r="A40" s="51"/>
      <c r="B40" s="53"/>
      <c r="C40" s="53"/>
      <c r="D40" s="53"/>
      <c r="E40" s="53"/>
      <c r="F40" s="53"/>
      <c r="G40" s="53"/>
      <c r="H40" s="53"/>
      <c r="I40" s="53"/>
    </row>
    <row r="41" spans="1:13" x14ac:dyDescent="0.2">
      <c r="A41" s="1" t="s">
        <v>107</v>
      </c>
      <c r="C41" t="s">
        <v>110</v>
      </c>
      <c r="D41" s="85" t="s">
        <v>113</v>
      </c>
    </row>
    <row r="42" spans="1:13" x14ac:dyDescent="0.2">
      <c r="A42" t="s">
        <v>108</v>
      </c>
      <c r="C42" t="s">
        <v>111</v>
      </c>
      <c r="D42" s="86" t="s">
        <v>114</v>
      </c>
    </row>
    <row r="43" spans="1:13" x14ac:dyDescent="0.2">
      <c r="A43" t="s">
        <v>109</v>
      </c>
      <c r="C43" t="s">
        <v>112</v>
      </c>
      <c r="D43" s="86" t="s">
        <v>115</v>
      </c>
    </row>
  </sheetData>
  <sheetProtection algorithmName="SHA-512" hashValue="ocG85451r/Pzily14Tg3JzJn8ba5bxasm2G/7u2nSq8ZML+AEYCNDCoE+4awyC8u454hgg7g/rKLXDfibEmMEw==" saltValue="wGNWx2HZDyW59oovU70TTA==" spinCount="100000" sheet="1" objects="1" scenarios="1"/>
  <mergeCells count="1">
    <mergeCell ref="G5:H5"/>
  </mergeCells>
  <conditionalFormatting sqref="D15">
    <cfRule type="cellIs" dxfId="3" priority="4" operator="lessThan">
      <formula>0.004</formula>
    </cfRule>
  </conditionalFormatting>
  <conditionalFormatting sqref="D20">
    <cfRule type="cellIs" dxfId="2" priority="3" operator="lessThan">
      <formula>0.004</formula>
    </cfRule>
  </conditionalFormatting>
  <conditionalFormatting sqref="D25">
    <cfRule type="cellIs" dxfId="1" priority="2" operator="lessThan">
      <formula>0.004</formula>
    </cfRule>
  </conditionalFormatting>
  <conditionalFormatting sqref="D30">
    <cfRule type="cellIs" dxfId="0" priority="1" operator="lessThan">
      <formula>0.004</formula>
    </cfRule>
  </conditionalFormatting>
  <hyperlinks>
    <hyperlink ref="D42" r:id="rId1" xr:uid="{B0F5653E-F6E5-154A-ACB8-B2F9F960D54F}"/>
    <hyperlink ref="D43" r:id="rId2" xr:uid="{9046A473-8043-8A44-90EC-AEB054D94C9F}"/>
  </hyperlinks>
  <pageMargins left="0.7" right="0.7" top="0.75" bottom="0.75" header="0.3" footer="0.3"/>
  <pageSetup paperSize="9" orientation="portrait" horizontalDpi="300" verticalDpi="300" r:id="rId3"/>
  <ignoredErrors>
    <ignoredError sqref="D41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B9B3-77F4-4219-8A13-6677D67EED61}">
  <dimension ref="A1:M69"/>
  <sheetViews>
    <sheetView workbookViewId="0">
      <selection activeCell="L33" sqref="L33"/>
    </sheetView>
  </sheetViews>
  <sheetFormatPr baseColWidth="10" defaultColWidth="8.83203125" defaultRowHeight="15" x14ac:dyDescent="0.2"/>
  <cols>
    <col min="1" max="1" width="9.83203125" customWidth="1"/>
    <col min="2" max="2" width="14.1640625" customWidth="1"/>
    <col min="3" max="3" width="15.83203125" customWidth="1"/>
    <col min="4" max="4" width="17.5" customWidth="1"/>
    <col min="5" max="5" width="16.1640625" customWidth="1"/>
    <col min="6" max="6" width="15.83203125" customWidth="1"/>
    <col min="7" max="7" width="16.5" customWidth="1"/>
    <col min="8" max="8" width="16.1640625" customWidth="1"/>
    <col min="9" max="9" width="15.5" customWidth="1"/>
  </cols>
  <sheetData>
    <row r="1" spans="1:9" x14ac:dyDescent="0.2">
      <c r="A1" s="12" t="s">
        <v>19</v>
      </c>
      <c r="B1" s="13" t="s">
        <v>18</v>
      </c>
      <c r="C1" s="13" t="s">
        <v>20</v>
      </c>
      <c r="D1" s="14" t="s">
        <v>25</v>
      </c>
      <c r="H1" s="1"/>
    </row>
    <row r="2" spans="1:9" x14ac:dyDescent="0.2">
      <c r="A2" s="37">
        <v>5.0000000000000001E-3</v>
      </c>
      <c r="B2" s="27">
        <f>C2/D2</f>
        <v>0.87575301204819278</v>
      </c>
      <c r="C2">
        <v>581.5</v>
      </c>
      <c r="D2" s="18">
        <v>664</v>
      </c>
      <c r="E2" s="7"/>
      <c r="I2" s="5"/>
    </row>
    <row r="3" spans="1:9" x14ac:dyDescent="0.2">
      <c r="A3" s="17">
        <v>5.6249999999999998E-3</v>
      </c>
      <c r="B3" s="7">
        <v>0.89100000000000001</v>
      </c>
      <c r="D3" s="18"/>
      <c r="E3" s="7"/>
      <c r="I3" s="5"/>
    </row>
    <row r="4" spans="1:9" x14ac:dyDescent="0.2">
      <c r="A4" s="17">
        <v>6.2500000000000003E-3</v>
      </c>
      <c r="B4" s="7">
        <v>0.90700000000000003</v>
      </c>
      <c r="D4" s="18"/>
      <c r="E4" s="7"/>
      <c r="I4" s="5"/>
    </row>
    <row r="5" spans="1:9" x14ac:dyDescent="0.2">
      <c r="A5" s="17">
        <v>6.875E-3</v>
      </c>
      <c r="B5" s="7">
        <v>0.92300000000000004</v>
      </c>
      <c r="D5" s="18"/>
      <c r="E5" s="7"/>
      <c r="I5" s="5"/>
    </row>
    <row r="6" spans="1:9" x14ac:dyDescent="0.2">
      <c r="A6" s="37">
        <v>7.4999999999999997E-3</v>
      </c>
      <c r="B6" s="27">
        <f>C6/D6</f>
        <v>0.93850415512465379</v>
      </c>
      <c r="C6">
        <v>677.6</v>
      </c>
      <c r="D6" s="18">
        <v>722</v>
      </c>
      <c r="E6" s="7"/>
      <c r="I6" s="5"/>
    </row>
    <row r="7" spans="1:9" x14ac:dyDescent="0.2">
      <c r="A7" s="17">
        <v>8.1250000000000003E-3</v>
      </c>
      <c r="B7" s="7">
        <v>0.94899999999999995</v>
      </c>
      <c r="D7" s="18"/>
      <c r="E7" s="7"/>
      <c r="I7" s="5"/>
    </row>
    <row r="8" spans="1:9" x14ac:dyDescent="0.2">
      <c r="A8" s="17">
        <v>8.7500000000000008E-3</v>
      </c>
      <c r="B8" s="7">
        <v>0.96</v>
      </c>
      <c r="D8" s="18"/>
      <c r="E8" s="7"/>
      <c r="I8" s="5"/>
    </row>
    <row r="9" spans="1:9" x14ac:dyDescent="0.2">
      <c r="A9" s="17">
        <v>9.3749999999999997E-3</v>
      </c>
      <c r="B9" s="7">
        <v>0.96599999999999997</v>
      </c>
      <c r="D9" s="18"/>
      <c r="E9" s="7"/>
      <c r="I9" s="5"/>
    </row>
    <row r="10" spans="1:9" x14ac:dyDescent="0.2">
      <c r="A10" s="37">
        <v>0.01</v>
      </c>
      <c r="B10" s="27">
        <f>C10/D10</f>
        <v>0.97293035479632062</v>
      </c>
      <c r="C10">
        <v>740.4</v>
      </c>
      <c r="D10" s="18">
        <v>761</v>
      </c>
      <c r="E10" s="7"/>
      <c r="I10" s="5"/>
    </row>
    <row r="11" spans="1:9" x14ac:dyDescent="0.2">
      <c r="A11" s="17">
        <v>1.125E-2</v>
      </c>
      <c r="B11" s="5">
        <v>0.98150000000000004</v>
      </c>
      <c r="D11" s="18"/>
      <c r="E11" s="7"/>
      <c r="H11" s="25"/>
      <c r="I11" s="5"/>
    </row>
    <row r="12" spans="1:9" x14ac:dyDescent="0.2">
      <c r="A12" s="17">
        <v>1.2500000000000001E-2</v>
      </c>
      <c r="B12" s="5">
        <v>0.99</v>
      </c>
      <c r="D12" s="18"/>
      <c r="E12" s="7"/>
      <c r="I12" s="5"/>
    </row>
    <row r="13" spans="1:9" x14ac:dyDescent="0.2">
      <c r="A13" s="17">
        <v>1.375E-2</v>
      </c>
      <c r="B13" s="7">
        <v>0.995</v>
      </c>
      <c r="D13" s="18"/>
      <c r="E13" s="7"/>
      <c r="I13" s="5"/>
    </row>
    <row r="14" spans="1:9" x14ac:dyDescent="0.2">
      <c r="A14" s="37">
        <v>1.4999999999999999E-2</v>
      </c>
      <c r="B14" s="26">
        <v>1</v>
      </c>
      <c r="C14">
        <v>806.7</v>
      </c>
      <c r="D14" s="38">
        <f>891*0.9</f>
        <v>801.9</v>
      </c>
      <c r="E14" s="7"/>
      <c r="I14" s="5"/>
    </row>
    <row r="15" spans="1:9" x14ac:dyDescent="0.2">
      <c r="A15" s="17">
        <v>1.6250000000000001E-2</v>
      </c>
      <c r="B15">
        <v>1.0017499999999999</v>
      </c>
      <c r="D15" s="18"/>
      <c r="E15" s="7"/>
      <c r="I15" s="5"/>
    </row>
    <row r="16" spans="1:9" x14ac:dyDescent="0.2">
      <c r="A16" s="17">
        <v>1.7500000000000002E-2</v>
      </c>
      <c r="B16">
        <v>1.0035000000000001</v>
      </c>
      <c r="D16" s="18"/>
      <c r="E16" s="7"/>
      <c r="I16" s="5"/>
    </row>
    <row r="17" spans="1:13" x14ac:dyDescent="0.2">
      <c r="A17" s="17">
        <v>1.8749999999999999E-2</v>
      </c>
      <c r="B17">
        <v>1.00525</v>
      </c>
      <c r="D17" s="18"/>
      <c r="E17" s="7"/>
      <c r="I17" s="5"/>
    </row>
    <row r="18" spans="1:13" x14ac:dyDescent="0.2">
      <c r="A18" s="37">
        <v>0.02</v>
      </c>
      <c r="B18" s="27">
        <f>C18/D18</f>
        <v>1.0073897497020263</v>
      </c>
      <c r="C18">
        <v>845.2</v>
      </c>
      <c r="D18" s="18">
        <v>839</v>
      </c>
      <c r="E18" s="7"/>
      <c r="I18" s="5"/>
    </row>
    <row r="19" spans="1:13" x14ac:dyDescent="0.2">
      <c r="A19" s="17">
        <v>2.1250000000000002E-2</v>
      </c>
      <c r="B19" s="7">
        <v>1.0082500000000001</v>
      </c>
      <c r="D19" s="18"/>
      <c r="E19" s="7"/>
      <c r="I19" s="5"/>
    </row>
    <row r="20" spans="1:13" x14ac:dyDescent="0.2">
      <c r="A20" s="17">
        <v>2.2499999999999999E-2</v>
      </c>
      <c r="B20" s="7">
        <v>1.00945</v>
      </c>
      <c r="D20" s="18"/>
      <c r="E20" s="7"/>
      <c r="F20" s="1" t="s">
        <v>33</v>
      </c>
      <c r="I20" s="5"/>
      <c r="M20" s="6" t="s">
        <v>35</v>
      </c>
    </row>
    <row r="21" spans="1:13" x14ac:dyDescent="0.2">
      <c r="A21" s="17">
        <v>2.375E-2</v>
      </c>
      <c r="B21" s="7">
        <v>1.01065</v>
      </c>
      <c r="D21" s="18"/>
      <c r="E21" s="7"/>
      <c r="F21" s="1" t="s">
        <v>34</v>
      </c>
      <c r="H21" s="6" t="s">
        <v>36</v>
      </c>
      <c r="I21" s="5"/>
    </row>
    <row r="22" spans="1:13" x14ac:dyDescent="0.2">
      <c r="A22" s="37">
        <v>2.5000000000000001E-2</v>
      </c>
      <c r="B22" s="28">
        <f>C22/D22</f>
        <v>1.0118742724097789</v>
      </c>
      <c r="C22">
        <v>869.2</v>
      </c>
      <c r="D22" s="18">
        <v>859</v>
      </c>
      <c r="E22" s="7"/>
      <c r="I22" s="5"/>
    </row>
    <row r="23" spans="1:13" x14ac:dyDescent="0.2">
      <c r="A23" s="17">
        <v>2.5000999999999999E-2</v>
      </c>
      <c r="B23" s="10">
        <v>1.0119</v>
      </c>
      <c r="D23" s="18"/>
      <c r="E23" s="7"/>
      <c r="I23" s="5"/>
    </row>
    <row r="24" spans="1:13" x14ac:dyDescent="0.2">
      <c r="A24" s="39">
        <v>0.03</v>
      </c>
      <c r="B24" s="11">
        <f>B22+B22-B18</f>
        <v>1.0163587951175315</v>
      </c>
      <c r="C24" t="s">
        <v>50</v>
      </c>
      <c r="D24" s="18"/>
      <c r="F24" s="1" t="s">
        <v>42</v>
      </c>
      <c r="G24" t="s">
        <v>44</v>
      </c>
      <c r="I24" s="6"/>
    </row>
    <row r="25" spans="1:13" x14ac:dyDescent="0.2">
      <c r="A25" s="39">
        <v>3.5000000000000003E-2</v>
      </c>
      <c r="B25" s="11">
        <f>B24+B24-B22</f>
        <v>1.020843317825284</v>
      </c>
      <c r="C25" t="s">
        <v>50</v>
      </c>
      <c r="D25" s="18"/>
      <c r="F25" s="1" t="s">
        <v>43</v>
      </c>
      <c r="J25" s="6"/>
    </row>
    <row r="26" spans="1:13" x14ac:dyDescent="0.2">
      <c r="A26" s="39">
        <v>0.04</v>
      </c>
      <c r="B26" s="11">
        <f t="shared" ref="B26:B29" si="0">B25+B25-B24</f>
        <v>1.0253278405330366</v>
      </c>
      <c r="C26" t="s">
        <v>50</v>
      </c>
      <c r="D26" s="18"/>
    </row>
    <row r="27" spans="1:13" x14ac:dyDescent="0.2">
      <c r="A27" s="39">
        <v>4.4999999999999998E-2</v>
      </c>
      <c r="B27" s="11">
        <f t="shared" si="0"/>
        <v>1.0298123632407892</v>
      </c>
      <c r="C27" t="s">
        <v>50</v>
      </c>
      <c r="D27" s="18"/>
    </row>
    <row r="28" spans="1:13" x14ac:dyDescent="0.2">
      <c r="A28" s="39">
        <v>0.05</v>
      </c>
      <c r="B28" s="11">
        <f t="shared" si="0"/>
        <v>1.0342968859485417</v>
      </c>
      <c r="C28" t="s">
        <v>50</v>
      </c>
      <c r="D28" s="18"/>
      <c r="H28" s="6"/>
    </row>
    <row r="29" spans="1:13" x14ac:dyDescent="0.2">
      <c r="A29" s="39">
        <v>5.5E-2</v>
      </c>
      <c r="B29" s="11">
        <f t="shared" si="0"/>
        <v>1.0387814086562943</v>
      </c>
      <c r="C29" t="s">
        <v>50</v>
      </c>
      <c r="D29" s="18"/>
    </row>
    <row r="30" spans="1:13" ht="16" thickBot="1" x14ac:dyDescent="0.25">
      <c r="A30" s="40">
        <v>0.06</v>
      </c>
      <c r="B30" s="41">
        <f t="shared" ref="B30" si="1">B29+B29-B28</f>
        <v>1.0432659313640469</v>
      </c>
      <c r="C30" s="23" t="s">
        <v>50</v>
      </c>
      <c r="D30" s="24"/>
    </row>
    <row r="31" spans="1:13" x14ac:dyDescent="0.2">
      <c r="B31" s="10"/>
    </row>
    <row r="32" spans="1:13" ht="16" thickBot="1" x14ac:dyDescent="0.25">
      <c r="B32" s="10"/>
    </row>
    <row r="33" spans="2:9" ht="16" thickBot="1" x14ac:dyDescent="0.25">
      <c r="C33" s="36" t="s">
        <v>47</v>
      </c>
      <c r="D33" s="89" t="s">
        <v>37</v>
      </c>
      <c r="E33" s="90"/>
      <c r="F33" s="91"/>
      <c r="G33" s="89" t="s">
        <v>41</v>
      </c>
      <c r="H33" s="90"/>
      <c r="I33" s="91"/>
    </row>
    <row r="34" spans="2:9" x14ac:dyDescent="0.2">
      <c r="D34" s="12" t="s">
        <v>30</v>
      </c>
      <c r="E34" s="13" t="s">
        <v>31</v>
      </c>
      <c r="F34" s="14" t="s">
        <v>32</v>
      </c>
      <c r="G34" s="12" t="s">
        <v>38</v>
      </c>
      <c r="H34" s="13" t="s">
        <v>39</v>
      </c>
      <c r="I34" s="14" t="s">
        <v>40</v>
      </c>
    </row>
    <row r="35" spans="2:9" x14ac:dyDescent="0.2">
      <c r="B35" s="5"/>
      <c r="D35" s="15">
        <f>-2811774.85098743*Blad1!D15^4+215630.733838141*Blad1!D15^3-6195.37183380685*Blad1!D15^2+80.4933514661061*Blad1!D15+0.6</f>
        <v>0.95724673592409582</v>
      </c>
      <c r="E35" s="5">
        <f>-2811774.85098743*F42^4+215630.733838141*F42^3-6195.37183380685*F42^2+80.4933514661061*F42+0.6</f>
        <v>0.95169710565670296</v>
      </c>
      <c r="F35" s="16">
        <f>-2811774.85098743*F47^4+215630.733838141*F47^3-6195.37183380685*F47^2+80.4933514661061*F47+0.6</f>
        <v>0.95093585152453697</v>
      </c>
      <c r="G35" s="15">
        <f>0.89*Blad1!D15+0.9897</f>
        <v>0.99744283625834684</v>
      </c>
      <c r="H35" s="5">
        <f>0.89*I42+0.9897</f>
        <v>0.99742377384093572</v>
      </c>
      <c r="I35" s="16">
        <f>0.89*I47+0.9897</f>
        <v>0.99742362622966863</v>
      </c>
    </row>
    <row r="36" spans="2:9" x14ac:dyDescent="0.2">
      <c r="B36" s="5"/>
      <c r="D36" s="15">
        <f>-2811774.85098743*Blad1!D20^4+215630.733838141*Blad1!D20^3-6195.37183380685*Blad1!D20^2+80.4933514661061*Blad1!D20+0.6</f>
        <v>0.9930281012894181</v>
      </c>
      <c r="E36" s="5">
        <f>-2811774.85098743*F43^4+215630.733838141*F43^3-6195.37183380685*F43^2+80.4933514661061*F43+0.6</f>
        <v>0.99266710035893591</v>
      </c>
      <c r="F36" s="16">
        <f>-2811774.85098743*F48^4+215630.733838141*F48^3-6195.37183380685*F48^2+80.4933514661061*F48+0.6</f>
        <v>0.99264786393030757</v>
      </c>
      <c r="G36" s="15">
        <f>0.89*Blad1!D20+0.9897</f>
        <v>1.0013142543875202</v>
      </c>
      <c r="H36" s="5">
        <f>0.89*I43+0.9897</f>
        <v>1.0013306286888675</v>
      </c>
      <c r="I36" s="16">
        <f>0.89*I48+0.9897</f>
        <v>1.0013308188823238</v>
      </c>
    </row>
    <row r="37" spans="2:9" x14ac:dyDescent="0.2">
      <c r="B37" s="5"/>
      <c r="D37" s="15">
        <f>-2811774.85098743*Blad1!D25^4+215630.733838141*Blad1!D25^3-6195.37183380685*Blad1!D25^2+80.4933514661061*Blad1!D25+0.6</f>
        <v>1.0030834143591263</v>
      </c>
      <c r="E37" s="5">
        <f>-2811774.85098743*F44^4+215630.733838141*F44^3-6195.37183380685*F44^2+80.4933514661061*F44+0.6</f>
        <v>1.0031661117925257</v>
      </c>
      <c r="F37" s="16">
        <f>-2811774.85098743*F49^4+215630.733838141*F49^3-6195.37183380685*F49^2+80.4933514661061*F49+0.6</f>
        <v>1.0031682594662912</v>
      </c>
      <c r="G37" s="15">
        <f>0.89*Blad1!D25+0.9897</f>
        <v>1.0051856725166937</v>
      </c>
      <c r="H37" s="5">
        <f>0.89*I44+0.9897</f>
        <v>1.0052674621551083</v>
      </c>
      <c r="I37" s="16">
        <f>0.89*I49+0.9897</f>
        <v>1.0052687288435773</v>
      </c>
    </row>
    <row r="38" spans="2:9" x14ac:dyDescent="0.2">
      <c r="B38" s="5"/>
      <c r="D38" s="15">
        <f>-2811774.85098743*Blad1!D30^4+215630.733838141*Blad1!D30^3-6195.37183380685*Blad1!D30^2+80.4933514661061*Blad1!D30+0.6</f>
        <v>1.0093380840235766</v>
      </c>
      <c r="E38" s="5">
        <f>-2811774.85098743*F45^4+215630.733838141*F45^3-6195.37183380685*F45^2+80.4933514661061*F45+0.6</f>
        <v>1.0095985836908508</v>
      </c>
      <c r="F38" s="16">
        <f>-2811774.85098743*F50^4+215630.733838141*F50^3-6195.37183380685*F50^2+80.4933514661061*F50+0.6</f>
        <v>1.0096056353295912</v>
      </c>
      <c r="G38" s="15">
        <f>0.89*Blad1!D30+0.9897</f>
        <v>1.0090570906458671</v>
      </c>
      <c r="H38" s="5">
        <f>0.89*I45+0.9897</f>
        <v>1.0092342742396583</v>
      </c>
      <c r="I38" s="16">
        <f>0.89*I50+0.9897</f>
        <v>1.0092377043259677</v>
      </c>
    </row>
    <row r="39" spans="2:9" x14ac:dyDescent="0.2">
      <c r="D39" s="17"/>
      <c r="F39" s="18"/>
      <c r="G39" s="17"/>
      <c r="I39" s="18"/>
    </row>
    <row r="40" spans="2:9" x14ac:dyDescent="0.2">
      <c r="D40" s="17"/>
      <c r="F40" s="18"/>
      <c r="G40" s="17"/>
      <c r="I40" s="18"/>
    </row>
    <row r="41" spans="2:9" x14ac:dyDescent="0.2">
      <c r="D41" s="29" t="s">
        <v>26</v>
      </c>
      <c r="E41" s="1" t="s">
        <v>27</v>
      </c>
      <c r="F41" s="30" t="s">
        <v>10</v>
      </c>
      <c r="G41" s="29" t="s">
        <v>26</v>
      </c>
      <c r="H41" s="1" t="s">
        <v>27</v>
      </c>
      <c r="I41" s="30" t="s">
        <v>10</v>
      </c>
    </row>
    <row r="42" spans="2:9" x14ac:dyDescent="0.2">
      <c r="D42" s="17" t="s">
        <v>21</v>
      </c>
      <c r="E42" s="9">
        <f>Blad1!D13*Effektfaktor!D35</f>
        <v>174.48554248287323</v>
      </c>
      <c r="F42" s="19">
        <f>E42/(4190*(Blad1!$B$5-Blad1!$B$6))</f>
        <v>8.3286655123089842E-3</v>
      </c>
      <c r="G42" s="17" t="s">
        <v>21</v>
      </c>
      <c r="H42" s="9">
        <f>Blad1!D13*G35</f>
        <v>181.81242917708278</v>
      </c>
      <c r="I42" s="19">
        <f>H42/(4190*(Blad1!$B$5-Blad1!$B$6))</f>
        <v>8.6783975740850963E-3</v>
      </c>
    </row>
    <row r="43" spans="2:9" x14ac:dyDescent="0.2">
      <c r="D43" s="17" t="s">
        <v>22</v>
      </c>
      <c r="E43" s="9">
        <f>Blad1!D18*Effektfaktor!D36</f>
        <v>271.51157656383111</v>
      </c>
      <c r="F43" s="19">
        <f>E43/(4190*(Blad1!$B$5-Blad1!$B$6))</f>
        <v>1.2959979788249695E-2</v>
      </c>
      <c r="G43" s="17" t="s">
        <v>22</v>
      </c>
      <c r="H43" s="9">
        <f>Blad1!D18*G36</f>
        <v>273.77715846266528</v>
      </c>
      <c r="I43" s="19">
        <f>H43/(4190*(Blad1!$B$5-Blad1!$B$6))</f>
        <v>1.3068122122322926E-2</v>
      </c>
    </row>
    <row r="44" spans="2:9" x14ac:dyDescent="0.2">
      <c r="D44" s="17" t="s">
        <v>23</v>
      </c>
      <c r="E44" s="9">
        <f>Blad1!D23*Effektfaktor!D37</f>
        <v>365.68117109548069</v>
      </c>
      <c r="F44" s="19">
        <f>E44/(4190*(Blad1!$B$5-Blad1!$B$6))</f>
        <v>1.7454948500977598E-2</v>
      </c>
      <c r="G44" s="17" t="s">
        <v>23</v>
      </c>
      <c r="H44" s="9">
        <f>Blad1!D23*G37</f>
        <v>366.44756421294187</v>
      </c>
      <c r="I44" s="19">
        <f>H44/(4190*(Blad1!$B$5-Blad1!$B$6))</f>
        <v>1.7491530511357607E-2</v>
      </c>
    </row>
    <row r="45" spans="2:9" x14ac:dyDescent="0.2">
      <c r="D45" s="17" t="s">
        <v>24</v>
      </c>
      <c r="E45" s="9">
        <f>Blad1!D28*Effektfaktor!D38</f>
        <v>459.95169408820675</v>
      </c>
      <c r="F45" s="19">
        <f>E45/(4190*(Blad1!$B$5-Blad1!$B$6))</f>
        <v>2.1954734801346385E-2</v>
      </c>
      <c r="G45" s="17" t="s">
        <v>24</v>
      </c>
      <c r="H45" s="9">
        <f>Blad1!D28*G38</f>
        <v>459.82364642791259</v>
      </c>
      <c r="I45" s="19">
        <f>H45/(4190*(Blad1!$B$5-Blad1!$B$6))</f>
        <v>2.1948622741189146E-2</v>
      </c>
    </row>
    <row r="46" spans="2:9" x14ac:dyDescent="0.2">
      <c r="D46" s="29" t="s">
        <v>28</v>
      </c>
      <c r="E46" s="1" t="s">
        <v>27</v>
      </c>
      <c r="F46" s="30" t="s">
        <v>10</v>
      </c>
      <c r="G46" s="29" t="s">
        <v>28</v>
      </c>
      <c r="H46" s="31" t="s">
        <v>27</v>
      </c>
      <c r="I46" s="30" t="s">
        <v>10</v>
      </c>
    </row>
    <row r="47" spans="2:9" x14ac:dyDescent="0.2">
      <c r="D47" s="17" t="s">
        <v>21</v>
      </c>
      <c r="E47" s="9">
        <f>Blad1!D13*Effektfaktor!E35</f>
        <v>173.47396395098028</v>
      </c>
      <c r="F47" s="19">
        <f>E47/(4190*(Blad1!$B$5-Blad1!$B$6))</f>
        <v>8.2803801408582473E-3</v>
      </c>
      <c r="G47" s="17" t="s">
        <v>21</v>
      </c>
      <c r="H47" s="9">
        <f>Blad1!D13*Effektfaktor!H35</f>
        <v>181.80895450736787</v>
      </c>
      <c r="I47" s="19">
        <f>H47/(4190*(Blad1!$B$5-Blad1!$B$6))</f>
        <v>8.6782317187287759E-3</v>
      </c>
    </row>
    <row r="48" spans="2:9" x14ac:dyDescent="0.2">
      <c r="D48" s="17" t="s">
        <v>22</v>
      </c>
      <c r="E48" s="9">
        <f>Blad1!D18*Effektfaktor!E36</f>
        <v>271.41287247716031</v>
      </c>
      <c r="F48" s="19">
        <f>E48/(4190*(Blad1!$B$5-Blad1!$B$6))</f>
        <v>1.2955268375998105E-2</v>
      </c>
      <c r="G48" s="17" t="s">
        <v>22</v>
      </c>
      <c r="H48" s="9">
        <f>Blad1!D18*Effektfaktor!H36</f>
        <v>273.78163548840922</v>
      </c>
      <c r="I48" s="19">
        <f>H48/(4190*(Blad1!$B$5-Blad1!$B$6))</f>
        <v>1.3068335822835762E-2</v>
      </c>
    </row>
    <row r="49" spans="3:9" x14ac:dyDescent="0.2">
      <c r="D49" s="17" t="s">
        <v>23</v>
      </c>
      <c r="E49" s="9">
        <f>Blad1!D23*Effektfaktor!E37</f>
        <v>365.71131903119488</v>
      </c>
      <c r="F49" s="19">
        <f>E49/(4190*(Blad1!$B$5-Blad1!$B$6))</f>
        <v>1.7456387543255125E-2</v>
      </c>
      <c r="G49" s="17" t="s">
        <v>23</v>
      </c>
      <c r="H49" s="9">
        <f>Blad1!D23*Effektfaktor!H37</f>
        <v>366.47738120555761</v>
      </c>
      <c r="I49" s="19">
        <f>H49/(4190*(Blad1!$B$5-Blad1!$B$6))</f>
        <v>1.7492953756828526E-2</v>
      </c>
    </row>
    <row r="50" spans="3:9" x14ac:dyDescent="0.2">
      <c r="D50" s="17" t="s">
        <v>24</v>
      </c>
      <c r="E50" s="9">
        <f>Blad1!D28*Effektfaktor!E38</f>
        <v>460.07040283918792</v>
      </c>
      <c r="F50" s="19">
        <f>E50/(4190*(Blad1!$B$5-Blad1!$B$6))</f>
        <v>2.1960401090176034E-2</v>
      </c>
      <c r="G50" s="17" t="s">
        <v>24</v>
      </c>
      <c r="H50" s="9">
        <f>Blad1!D28*Effektfaktor!H38</f>
        <v>459.90438834721476</v>
      </c>
      <c r="I50" s="19">
        <f>H50/(4190*(Blad1!$B$5-Blad1!$B$6))</f>
        <v>2.1952476770750108E-2</v>
      </c>
    </row>
    <row r="51" spans="3:9" x14ac:dyDescent="0.2">
      <c r="D51" s="29" t="s">
        <v>29</v>
      </c>
      <c r="E51" s="1" t="s">
        <v>27</v>
      </c>
      <c r="F51" s="30" t="s">
        <v>10</v>
      </c>
      <c r="G51" s="29" t="s">
        <v>29</v>
      </c>
      <c r="H51" s="1" t="s">
        <v>27</v>
      </c>
      <c r="I51" s="30" t="s">
        <v>10</v>
      </c>
    </row>
    <row r="52" spans="3:9" x14ac:dyDescent="0.2">
      <c r="D52" s="17" t="s">
        <v>21</v>
      </c>
      <c r="E52" s="9">
        <f>Blad1!D13*Effektfaktor!F35</f>
        <v>173.33520365519291</v>
      </c>
      <c r="F52" s="19">
        <f>E52/(4190*(Blad1!$B$5-Blad1!$B$6))</f>
        <v>8.2737567377180396E-3</v>
      </c>
      <c r="G52" s="17" t="s">
        <v>21</v>
      </c>
      <c r="H52" s="9">
        <f>Blad1!D13*Effektfaktor!I35</f>
        <v>181.80892760100085</v>
      </c>
      <c r="I52" s="19">
        <f>H52/(4190*(Blad1!$B$5-Blad1!$B$6))</f>
        <v>8.6782304344153148E-3</v>
      </c>
    </row>
    <row r="53" spans="3:9" x14ac:dyDescent="0.2">
      <c r="D53" s="17" t="s">
        <v>22</v>
      </c>
      <c r="E53" s="9">
        <f>Blad1!D18*Effektfaktor!F36</f>
        <v>271.40761289482066</v>
      </c>
      <c r="F53" s="19">
        <f>E53/(4190*(Blad1!$B$5-Blad1!$B$6))</f>
        <v>1.2955017321948481E-2</v>
      </c>
      <c r="G53" s="17" t="s">
        <v>22</v>
      </c>
      <c r="H53" s="9">
        <f>Blad1!D18*Effektfaktor!I36</f>
        <v>273.78168749068902</v>
      </c>
      <c r="I53" s="19">
        <f>H53/(4190*(Blad1!$B$5-Blad1!$B$6))</f>
        <v>1.3068338305044822E-2</v>
      </c>
    </row>
    <row r="54" spans="3:9" x14ac:dyDescent="0.2">
      <c r="D54" s="17" t="s">
        <v>23</v>
      </c>
      <c r="E54" s="9">
        <f>Blad1!D23*Effektfaktor!F37</f>
        <v>365.71210198089426</v>
      </c>
      <c r="F54" s="19">
        <f>E54/(4190*(Blad1!$B$5-Blad1!$B$6))</f>
        <v>1.7456424915555813E-2</v>
      </c>
      <c r="G54" s="17" t="s">
        <v>23</v>
      </c>
      <c r="H54" s="9">
        <f>Blad1!D23*Effektfaktor!I37</f>
        <v>366.47784298582047</v>
      </c>
      <c r="I54" s="19">
        <f>H54/(4190*(Blad1!$B$5-Blad1!$B$6))</f>
        <v>1.7492975798845845E-2</v>
      </c>
    </row>
    <row r="55" spans="3:9" ht="16" thickBot="1" x14ac:dyDescent="0.25">
      <c r="D55" s="20" t="s">
        <v>24</v>
      </c>
      <c r="E55" s="21">
        <f>Blad1!D28*Effektfaktor!F38</f>
        <v>460.07361624531626</v>
      </c>
      <c r="F55" s="22">
        <f>E55/(4190*(Blad1!$B$5-Blad1!$B$6))</f>
        <v>2.1960554474716766E-2</v>
      </c>
      <c r="G55" s="20" t="s">
        <v>24</v>
      </c>
      <c r="H55" s="21">
        <f>Blad1!D28*Effektfaktor!I38</f>
        <v>459.90595142507129</v>
      </c>
      <c r="I55" s="22">
        <f>H55/(4190*(Blad1!$B$5-Blad1!$B$6))</f>
        <v>2.1952551380671662E-2</v>
      </c>
    </row>
    <row r="56" spans="3:9" ht="16" thickBot="1" x14ac:dyDescent="0.25"/>
    <row r="57" spans="3:9" ht="16" thickBot="1" x14ac:dyDescent="0.25">
      <c r="C57" s="36" t="s">
        <v>48</v>
      </c>
      <c r="D57" s="92" t="s">
        <v>45</v>
      </c>
      <c r="E57" s="93"/>
      <c r="F57" s="94"/>
    </row>
    <row r="58" spans="3:9" x14ac:dyDescent="0.2">
      <c r="D58" s="32"/>
      <c r="E58" s="13" t="s">
        <v>27</v>
      </c>
      <c r="F58" s="14" t="s">
        <v>10</v>
      </c>
    </row>
    <row r="59" spans="3:9" x14ac:dyDescent="0.2">
      <c r="D59" s="29" t="s">
        <v>21</v>
      </c>
      <c r="E59" s="9">
        <f>IF(Blad1!D15&gt;0.025,H52,Effektfaktor!E52)</f>
        <v>173.33520365519291</v>
      </c>
      <c r="F59" s="19">
        <f>IF(Blad1!D15&gt;0.025,I52,Effektfaktor!F52)</f>
        <v>8.2737567377180396E-3</v>
      </c>
    </row>
    <row r="60" spans="3:9" x14ac:dyDescent="0.2">
      <c r="D60" s="29" t="s">
        <v>22</v>
      </c>
      <c r="E60" s="9">
        <f>IF(Blad1!D20&gt;0.025,H53,Effektfaktor!E53)</f>
        <v>271.40761289482066</v>
      </c>
      <c r="F60" s="19">
        <f>IF(Blad1!D20&gt;0.025,I53,Effektfaktor!F53)</f>
        <v>1.2955017321948481E-2</v>
      </c>
    </row>
    <row r="61" spans="3:9" x14ac:dyDescent="0.2">
      <c r="D61" s="29" t="s">
        <v>23</v>
      </c>
      <c r="E61" s="9">
        <f>IF(Blad1!D25&gt;0.025,H54,Effektfaktor!E54)</f>
        <v>365.71210198089426</v>
      </c>
      <c r="F61" s="19">
        <f>IF(Blad1!D25&gt;0.025,I54,Effektfaktor!F54)</f>
        <v>1.7456424915555813E-2</v>
      </c>
    </row>
    <row r="62" spans="3:9" ht="16" thickBot="1" x14ac:dyDescent="0.25">
      <c r="D62" s="33" t="s">
        <v>24</v>
      </c>
      <c r="E62" s="21">
        <f>IF(Blad1!D30&gt;0.025,H55,Effektfaktor!E55)</f>
        <v>460.07361624531626</v>
      </c>
      <c r="F62" s="22">
        <f>IF(Blad1!D30&gt;0.025,I55,Effektfaktor!F55)</f>
        <v>2.1960554474716766E-2</v>
      </c>
    </row>
    <row r="63" spans="3:9" ht="16" thickBot="1" x14ac:dyDescent="0.25"/>
    <row r="64" spans="3:9" ht="16" thickBot="1" x14ac:dyDescent="0.25">
      <c r="C64" s="36" t="s">
        <v>49</v>
      </c>
      <c r="D64" s="92" t="s">
        <v>46</v>
      </c>
      <c r="E64" s="95"/>
      <c r="F64" s="96"/>
    </row>
    <row r="65" spans="4:6" x14ac:dyDescent="0.2">
      <c r="D65" s="17"/>
      <c r="E65" s="1" t="s">
        <v>27</v>
      </c>
      <c r="F65" s="30" t="s">
        <v>10</v>
      </c>
    </row>
    <row r="66" spans="4:6" x14ac:dyDescent="0.2">
      <c r="D66" s="29" t="s">
        <v>21</v>
      </c>
      <c r="E66" s="34">
        <f>IF(AND(Blad1!D15&gt;=0.004,Blad1!D15&lt;=0.045),E59,"-")</f>
        <v>173.33520365519291</v>
      </c>
      <c r="F66" s="35">
        <f>IF(AND(Blad1!D15&gt;=0.004,Blad1!D15&lt;=0.045),F59,"Check flow")</f>
        <v>8.2737567377180396E-3</v>
      </c>
    </row>
    <row r="67" spans="4:6" x14ac:dyDescent="0.2">
      <c r="D67" s="29" t="s">
        <v>22</v>
      </c>
      <c r="E67" s="34">
        <f>IF(AND(Blad1!D20&gt;=0.004,Blad1!D20&lt;=0.045),E60,"-")</f>
        <v>271.40761289482066</v>
      </c>
      <c r="F67" s="35">
        <f>IF(AND(Blad1!D20&gt;=0.004,Blad1!D20&lt;=0.045),F60,"Check flow")</f>
        <v>1.2955017321948481E-2</v>
      </c>
    </row>
    <row r="68" spans="4:6" x14ac:dyDescent="0.2">
      <c r="D68" s="29" t="s">
        <v>23</v>
      </c>
      <c r="E68" s="9">
        <f>IF(AND(Blad1!D25&gt;=0.004,Blad1!D25&lt;=0.045),E61,"-")</f>
        <v>365.71210198089426</v>
      </c>
      <c r="F68" s="19">
        <f>IF(AND(Blad1!D25&gt;=0.004,Blad1!D25&lt;=0.045),F61,"Check flow")</f>
        <v>1.7456424915555813E-2</v>
      </c>
    </row>
    <row r="69" spans="4:6" ht="16" thickBot="1" x14ac:dyDescent="0.25">
      <c r="D69" s="33" t="s">
        <v>24</v>
      </c>
      <c r="E69" s="21">
        <f>IF(AND(Blad1!D30&gt;=0.004,Blad1!D30&lt;=0.045),E62,"-")</f>
        <v>460.07361624531626</v>
      </c>
      <c r="F69" s="22">
        <f>IF(AND(Blad1!D30&gt;=0.004,Blad1!D30&lt;=0.045),F62,"Check flow")</f>
        <v>2.1960554474716766E-2</v>
      </c>
    </row>
  </sheetData>
  <mergeCells count="4">
    <mergeCell ref="D33:F33"/>
    <mergeCell ref="G33:I33"/>
    <mergeCell ref="D57:F57"/>
    <mergeCell ref="D64:F6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F6C3-5A84-46CF-8A18-94FBEBACE163}">
  <dimension ref="A1:V15"/>
  <sheetViews>
    <sheetView workbookViewId="0">
      <selection activeCell="P5" sqref="P5"/>
    </sheetView>
  </sheetViews>
  <sheetFormatPr baseColWidth="10" defaultColWidth="8.83203125" defaultRowHeight="15" x14ac:dyDescent="0.2"/>
  <cols>
    <col min="2" max="2" width="11.1640625" customWidth="1"/>
    <col min="3" max="3" width="9.33203125" customWidth="1"/>
    <col min="4" max="4" width="14.1640625" customWidth="1"/>
    <col min="5" max="5" width="11.1640625" customWidth="1"/>
    <col min="6" max="6" width="11.33203125" customWidth="1"/>
    <col min="7" max="7" width="12.83203125" customWidth="1"/>
    <col min="8" max="8" width="12.5" customWidth="1"/>
    <col min="9" max="9" width="10.1640625" customWidth="1"/>
    <col min="10" max="10" width="14.83203125" customWidth="1"/>
    <col min="11" max="11" width="10.83203125" customWidth="1"/>
    <col min="12" max="12" width="10.6640625" customWidth="1"/>
    <col min="13" max="13" width="9.83203125" customWidth="1"/>
    <col min="14" max="14" width="11.6640625" customWidth="1"/>
    <col min="15" max="15" width="20.33203125" customWidth="1"/>
    <col min="16" max="16" width="12.83203125" customWidth="1"/>
    <col min="17" max="22" width="8.83203125" hidden="1" customWidth="1"/>
  </cols>
  <sheetData>
    <row r="1" spans="1:22" ht="27.5" customHeight="1" x14ac:dyDescent="0.25">
      <c r="B1" s="97" t="s">
        <v>51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2" x14ac:dyDescent="0.2">
      <c r="A2" s="48" t="s">
        <v>91</v>
      </c>
      <c r="B2" s="48" t="s">
        <v>52</v>
      </c>
      <c r="C2" s="48" t="s">
        <v>53</v>
      </c>
      <c r="D2" s="48" t="s">
        <v>54</v>
      </c>
      <c r="E2" s="48" t="s">
        <v>55</v>
      </c>
      <c r="F2" s="48" t="s">
        <v>56</v>
      </c>
      <c r="G2" s="48" t="s">
        <v>57</v>
      </c>
      <c r="H2" s="48" t="s">
        <v>58</v>
      </c>
      <c r="I2" s="48" t="s">
        <v>59</v>
      </c>
      <c r="J2" s="48" t="s">
        <v>60</v>
      </c>
      <c r="K2" s="48" t="s">
        <v>61</v>
      </c>
      <c r="L2" s="48" t="s">
        <v>62</v>
      </c>
      <c r="M2" s="48"/>
      <c r="N2" s="48" t="s">
        <v>63</v>
      </c>
      <c r="O2" s="48" t="s">
        <v>64</v>
      </c>
      <c r="P2" s="48" t="s">
        <v>65</v>
      </c>
    </row>
    <row r="3" spans="1:22" x14ac:dyDescent="0.2">
      <c r="A3" s="26" t="s">
        <v>67</v>
      </c>
      <c r="B3" s="26" t="s">
        <v>66</v>
      </c>
      <c r="C3" s="26" t="s">
        <v>9</v>
      </c>
      <c r="D3" s="26" t="s">
        <v>67</v>
      </c>
      <c r="E3" s="26" t="s">
        <v>68</v>
      </c>
      <c r="F3" s="26" t="s">
        <v>69</v>
      </c>
      <c r="G3" s="26" t="s">
        <v>70</v>
      </c>
      <c r="H3" s="26" t="s">
        <v>71</v>
      </c>
      <c r="I3" s="26" t="s">
        <v>67</v>
      </c>
      <c r="J3" s="26" t="s">
        <v>71</v>
      </c>
      <c r="K3" s="26" t="s">
        <v>72</v>
      </c>
      <c r="L3" s="26" t="s">
        <v>73</v>
      </c>
      <c r="M3" s="26" t="s">
        <v>74</v>
      </c>
      <c r="N3" s="26" t="s">
        <v>75</v>
      </c>
      <c r="O3" s="26" t="s">
        <v>75</v>
      </c>
      <c r="P3" s="26" t="s">
        <v>75</v>
      </c>
    </row>
    <row r="4" spans="1:22" x14ac:dyDescent="0.2">
      <c r="A4" s="49"/>
      <c r="B4" s="49" t="s">
        <v>76</v>
      </c>
      <c r="C4" s="49" t="s">
        <v>77</v>
      </c>
      <c r="D4" s="49" t="s">
        <v>78</v>
      </c>
      <c r="E4" s="49" t="s">
        <v>79</v>
      </c>
      <c r="F4" s="49" t="s">
        <v>80</v>
      </c>
      <c r="G4" s="49" t="s">
        <v>81</v>
      </c>
      <c r="H4" s="49" t="s">
        <v>82</v>
      </c>
      <c r="I4" s="49" t="s">
        <v>83</v>
      </c>
      <c r="J4" s="49" t="s">
        <v>84</v>
      </c>
      <c r="K4" s="49" t="s">
        <v>85</v>
      </c>
      <c r="L4" s="49" t="s">
        <v>86</v>
      </c>
      <c r="M4" s="49" t="s">
        <v>87</v>
      </c>
      <c r="N4" s="49" t="s">
        <v>88</v>
      </c>
      <c r="O4" s="49" t="s">
        <v>89</v>
      </c>
      <c r="P4" s="49" t="s">
        <v>90</v>
      </c>
    </row>
    <row r="5" spans="1:22" x14ac:dyDescent="0.2">
      <c r="A5" s="43" t="s">
        <v>21</v>
      </c>
      <c r="B5" s="42">
        <f>(Blad1!$B$5+Blad1!$B$6)/2</f>
        <v>47.5</v>
      </c>
      <c r="C5" s="44">
        <f>Blad1!E16</f>
        <v>8.2737567377180396E-3</v>
      </c>
      <c r="D5" s="42">
        <v>8</v>
      </c>
      <c r="E5" s="46">
        <f>IF(Q5=TRUE,"",C5*(4/(D5*D5*3.14)*1000))</f>
        <v>0.16468464844183994</v>
      </c>
      <c r="F5" s="47">
        <f>IF(B5="","",-0.0037*B5*B5-0.073*B5+1001)</f>
        <v>989.18437500000005</v>
      </c>
      <c r="G5" s="43">
        <f>IF(B5="","",0.0002*B5*B5-0.03*B5+1.5564)</f>
        <v>0.58264999999999989</v>
      </c>
      <c r="H5" s="50">
        <f>IF(Q5=TRUE,"",E5*D5/G5*1000)</f>
        <v>2261.1811336732512</v>
      </c>
      <c r="I5" s="42">
        <v>1.5E-3</v>
      </c>
      <c r="J5" s="45">
        <f>IF(R5=TRUE,"",(-1.737*LN(0.269*I5/D5-2.185/H5*LN(0.269*I5/D5+14.5/H5)))^-2)</f>
        <v>1.1737040606248134E-2</v>
      </c>
      <c r="K5" s="42">
        <v>5</v>
      </c>
      <c r="L5" s="42"/>
      <c r="M5" s="42"/>
      <c r="N5" s="43">
        <f>IF(K5="","",IF(H5&lt;2300,INT(64/H5*K5/D5*F5*E5*E5/2*10/9.81*10)/10,INT(4*J5*K5/D5*F5*E5*E5/2*10/9.81*10)/10))</f>
        <v>0.2</v>
      </c>
      <c r="O5" s="43" t="str">
        <f>IF(T5=TRUE,"",INT(L5*M5*F5*E5*E5/2/100/9.81*10)/10)</f>
        <v/>
      </c>
      <c r="P5" s="43">
        <f>IF(U5+V5=0,"",U5+V5)</f>
        <v>0.2</v>
      </c>
      <c r="Q5" t="b">
        <f>OR(B5="",C5="",D5="")</f>
        <v>0</v>
      </c>
      <c r="R5" t="b">
        <f>OR(H5="",I5="")</f>
        <v>0</v>
      </c>
      <c r="S5" t="b">
        <f>OR(L5="",M5="")</f>
        <v>1</v>
      </c>
      <c r="T5" t="b">
        <f>OR(Q5=TRUE,S5=TRUE)</f>
        <v>1</v>
      </c>
      <c r="U5">
        <f t="shared" ref="U5:V8" si="0">IF(N5="",0,N5)</f>
        <v>0.2</v>
      </c>
      <c r="V5">
        <f t="shared" si="0"/>
        <v>0</v>
      </c>
    </row>
    <row r="6" spans="1:22" x14ac:dyDescent="0.2">
      <c r="A6" s="43" t="s">
        <v>22</v>
      </c>
      <c r="B6" s="42">
        <f>(Blad1!$B$5+Blad1!$B$6)/2</f>
        <v>47.5</v>
      </c>
      <c r="C6" s="44">
        <f>Blad1!E21</f>
        <v>1.2955017321948481E-2</v>
      </c>
      <c r="D6" s="42">
        <v>8</v>
      </c>
      <c r="E6" s="46">
        <f>IF(Q6=TRUE,"",C6*(4/(D6*D6*3.14)*1000))</f>
        <v>0.2578626059305032</v>
      </c>
      <c r="F6" s="47">
        <f>IF(B6="","",-0.0037*B6*B6-0.073*B6+1001)</f>
        <v>989.18437500000005</v>
      </c>
      <c r="G6" s="43">
        <f>IF(B6="","",0.0002*B6*B6-0.03*B6+1.5564)</f>
        <v>0.58264999999999989</v>
      </c>
      <c r="H6" s="50">
        <f>IF(Q6=TRUE,"",E6*D6/G6*1000)</f>
        <v>3540.54895296323</v>
      </c>
      <c r="I6" s="42">
        <v>1.5E-3</v>
      </c>
      <c r="J6" s="45">
        <f>IF(R6=TRUE,"",(-1.737*LN(0.269*I6/D6-2.185/H6*LN(0.269*I6/D6+14.5/H6)))^-2)</f>
        <v>1.0296714106280434E-2</v>
      </c>
      <c r="K6" s="42">
        <v>7.4</v>
      </c>
      <c r="L6" s="42"/>
      <c r="M6" s="42"/>
      <c r="N6" s="43">
        <f>IF(K6="","",IF(H6&lt;2300,INT(64/H6*K6/D6*F6*E6*E6/2*10/9.81*10)/10,INT(4*J6*K6/D6*F6*E6*E6/2*10/9.81*10)/10))</f>
        <v>1.2</v>
      </c>
      <c r="O6" s="43" t="str">
        <f>IF(T6=TRUE,"",INT(L6*M6*F6*E6*E6/2/100/9.81*10)/10)</f>
        <v/>
      </c>
      <c r="P6" s="43">
        <f>IF(U6+V6=0,"",U6+V6)</f>
        <v>1.2</v>
      </c>
      <c r="Q6" t="b">
        <f>OR(B6="",C6="",D6="")</f>
        <v>0</v>
      </c>
      <c r="R6" t="b">
        <f>OR(H6="",I6="")</f>
        <v>0</v>
      </c>
      <c r="S6" t="b">
        <f>OR(L6="",M6="")</f>
        <v>1</v>
      </c>
      <c r="T6" t="b">
        <f>OR(Q6=TRUE,S6=TRUE)</f>
        <v>1</v>
      </c>
      <c r="U6">
        <f t="shared" si="0"/>
        <v>1.2</v>
      </c>
      <c r="V6">
        <f t="shared" si="0"/>
        <v>0</v>
      </c>
    </row>
    <row r="7" spans="1:22" x14ac:dyDescent="0.2">
      <c r="A7" s="43" t="s">
        <v>23</v>
      </c>
      <c r="B7" s="42">
        <f>(Blad1!$B$5+Blad1!$B$6)/2</f>
        <v>47.5</v>
      </c>
      <c r="C7" s="44">
        <f>Blad1!E26</f>
        <v>1.7456424915555813E-2</v>
      </c>
      <c r="D7" s="42">
        <v>8</v>
      </c>
      <c r="E7" s="46">
        <f>IF(Q7=TRUE,"",C7*(4/(D7*D7*3.14)*1000))</f>
        <v>0.34746068701345167</v>
      </c>
      <c r="F7" s="47">
        <f>IF(B7="","",-0.0037*B7*B7-0.073*B7+1001)</f>
        <v>989.18437500000005</v>
      </c>
      <c r="G7" s="43">
        <f>IF(B7="","",0.0002*B7*B7-0.03*B7+1.5564)</f>
        <v>0.58264999999999989</v>
      </c>
      <c r="H7" s="50">
        <f>IF(Q7=TRUE,"",E7*D7/G7*1000)</f>
        <v>4770.7637451430774</v>
      </c>
      <c r="I7" s="42">
        <v>1.5E-3</v>
      </c>
      <c r="J7" s="45">
        <f>IF(R7=TRUE,"",(-1.737*LN(0.269*I7/D7-2.185/H7*LN(0.269*I7/D7+14.5/H7)))^-2)</f>
        <v>9.4717045739299306E-3</v>
      </c>
      <c r="K7" s="42">
        <v>9.8000000000000007</v>
      </c>
      <c r="L7" s="42"/>
      <c r="M7" s="42"/>
      <c r="N7" s="43">
        <f>IF(K7="","",IF(H7&lt;2300,INT(64/H7*K7/D7*F7*E7*E7/2*10/9.81*10)/10,INT(4*J7*K7/D7*F7*E7*E7/2*10/9.81*10)/10))</f>
        <v>2.8</v>
      </c>
      <c r="O7" s="43" t="str">
        <f>IF(T7=TRUE,"",INT(L7*M7*F7*E7*E7/2/100/9.81*10)/10)</f>
        <v/>
      </c>
      <c r="P7" s="43">
        <f>IF(U7+V7=0,"",U7+V7)</f>
        <v>2.8</v>
      </c>
      <c r="Q7" t="b">
        <f>OR(B7="",C7="",D7="")</f>
        <v>0</v>
      </c>
      <c r="R7" t="b">
        <f>OR(H7="",I7="")</f>
        <v>0</v>
      </c>
      <c r="S7" t="b">
        <f>OR(L7="",M7="")</f>
        <v>1</v>
      </c>
      <c r="T7" t="b">
        <f>OR(Q7=TRUE,S7=TRUE)</f>
        <v>1</v>
      </c>
      <c r="U7">
        <f t="shared" si="0"/>
        <v>2.8</v>
      </c>
      <c r="V7">
        <f t="shared" si="0"/>
        <v>0</v>
      </c>
    </row>
    <row r="8" spans="1:22" x14ac:dyDescent="0.2">
      <c r="A8" s="43" t="s">
        <v>24</v>
      </c>
      <c r="B8" s="42">
        <f>(Blad1!$B$5+Blad1!$B$6)/2</f>
        <v>47.5</v>
      </c>
      <c r="C8" s="44">
        <f>Blad1!E31</f>
        <v>2.1960554474716766E-2</v>
      </c>
      <c r="D8" s="42">
        <v>8</v>
      </c>
      <c r="E8" s="46">
        <f>IF(Q8=TRUE,"",C8*(4/(D8*D8*3.14)*1000))</f>
        <v>0.43711294734706935</v>
      </c>
      <c r="F8" s="47">
        <f>IF(B8="","",-0.0037*B8*B8-0.073*B8+1001)</f>
        <v>989.18437500000005</v>
      </c>
      <c r="G8" s="43">
        <f>IF(B8="","",0.0002*B8*B8-0.03*B8+1.5564)</f>
        <v>0.58264999999999989</v>
      </c>
      <c r="H8" s="50">
        <f>IF(Q8=TRUE,"",E8*D8/G8*1000)</f>
        <v>6001.72243847345</v>
      </c>
      <c r="I8" s="42">
        <v>1.5E-3</v>
      </c>
      <c r="J8" s="45">
        <f>IF(R8=TRUE,"",(-1.737*LN(0.269*I8/D8-2.185/H8*LN(0.269*I8/D8+14.5/H8)))^-2)</f>
        <v>8.8990586410756505E-3</v>
      </c>
      <c r="K8" s="42">
        <v>12.2</v>
      </c>
      <c r="L8" s="42"/>
      <c r="M8" s="42"/>
      <c r="N8" s="43">
        <f>IF(K8="","",IF(H8&lt;2300,INT(64/H8*K8/D8*F8*E8*E8/2*10/9.81*10)/10,INT(4*J8*K8/D8*F8*E8*E8/2*10/9.81*10)/10))</f>
        <v>5.2</v>
      </c>
      <c r="O8" s="43" t="str">
        <f>IF(T8=TRUE,"",INT(L8*M8*F8*E8*E8/2/100/9.81*10)/10)</f>
        <v/>
      </c>
      <c r="P8" s="43">
        <f>IF(U8+V8=0,"",U8+V8)</f>
        <v>5.2</v>
      </c>
      <c r="Q8" t="b">
        <f>OR(B8="",C8="",D8="")</f>
        <v>0</v>
      </c>
      <c r="R8" t="b">
        <f>OR(H8="",I8="")</f>
        <v>0</v>
      </c>
      <c r="S8" t="b">
        <f>OR(L8="",M8="")</f>
        <v>1</v>
      </c>
      <c r="T8" t="b">
        <f>OR(Q8=TRUE,S8=TRUE)</f>
        <v>1</v>
      </c>
      <c r="U8">
        <f t="shared" si="0"/>
        <v>5.2</v>
      </c>
      <c r="V8">
        <f t="shared" si="0"/>
        <v>0</v>
      </c>
    </row>
    <row r="12" spans="1:22" x14ac:dyDescent="0.2">
      <c r="A12" t="s">
        <v>94</v>
      </c>
    </row>
    <row r="13" spans="1:22" x14ac:dyDescent="0.2">
      <c r="A13" t="s">
        <v>95</v>
      </c>
    </row>
    <row r="14" spans="1:22" x14ac:dyDescent="0.2">
      <c r="A14" t="s">
        <v>92</v>
      </c>
    </row>
    <row r="15" spans="1:22" x14ac:dyDescent="0.2">
      <c r="A15" t="s">
        <v>93</v>
      </c>
    </row>
  </sheetData>
  <mergeCells count="1">
    <mergeCell ref="B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Blad1</vt:lpstr>
      <vt:lpstr>Effektfaktor</vt:lpstr>
      <vt:lpstr>Tryckfall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Kim Karkulahti</cp:lastModifiedBy>
  <cp:lastPrinted>2017-04-07T06:37:14Z</cp:lastPrinted>
  <dcterms:created xsi:type="dcterms:W3CDTF">2016-06-01T11:46:06Z</dcterms:created>
  <dcterms:modified xsi:type="dcterms:W3CDTF">2024-03-07T12:39:20Z</dcterms:modified>
</cp:coreProperties>
</file>